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 activeTab="2"/>
  </bookViews>
  <sheets>
    <sheet name="Capital Plan" sheetId="10" r:id="rId1"/>
    <sheet name="Statement of Operations @ 2.3%" sheetId="12" r:id="rId2"/>
    <sheet name="Statement of Operations @ 3.3%" sheetId="11" r:id="rId3"/>
    <sheet name="Output" sheetId="7" state="hidden" r:id="rId4"/>
    <sheet name="Notes_Options_Strategies_Recomm" sheetId="9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0" l="1"/>
  <c r="B44" i="10" s="1"/>
  <c r="D40" i="10"/>
  <c r="O55" i="11"/>
  <c r="P55" i="11"/>
  <c r="Q55" i="11"/>
  <c r="R55" i="11"/>
  <c r="O23" i="11"/>
  <c r="P23" i="11"/>
  <c r="Q23" i="11" s="1"/>
  <c r="O24" i="11"/>
  <c r="P24" i="11"/>
  <c r="Q24" i="11" s="1"/>
  <c r="R24" i="11" s="1"/>
  <c r="O25" i="11"/>
  <c r="P25" i="11"/>
  <c r="Q25" i="11" s="1"/>
  <c r="R25" i="11" s="1"/>
  <c r="O26" i="11"/>
  <c r="P26" i="11"/>
  <c r="Q26" i="11" s="1"/>
  <c r="R26" i="11" s="1"/>
  <c r="O27" i="11"/>
  <c r="P27" i="11"/>
  <c r="Q27" i="11" s="1"/>
  <c r="R27" i="11" s="1"/>
  <c r="O28" i="11"/>
  <c r="P28" i="11"/>
  <c r="Q28" i="11" s="1"/>
  <c r="R28" i="11" s="1"/>
  <c r="O29" i="11"/>
  <c r="P29" i="11"/>
  <c r="Q29" i="11" s="1"/>
  <c r="R29" i="11" s="1"/>
  <c r="O30" i="11"/>
  <c r="P30" i="11"/>
  <c r="Q30" i="11" s="1"/>
  <c r="R30" i="11" s="1"/>
  <c r="O11" i="11"/>
  <c r="P11" i="11" s="1"/>
  <c r="Q11" i="11" s="1"/>
  <c r="R11" i="11" s="1"/>
  <c r="O14" i="11"/>
  <c r="P14" i="11" s="1"/>
  <c r="Q14" i="11" s="1"/>
  <c r="R14" i="11" s="1"/>
  <c r="O16" i="11"/>
  <c r="P16" i="11" s="1"/>
  <c r="Q16" i="11" s="1"/>
  <c r="R16" i="11" s="1"/>
  <c r="O17" i="11"/>
  <c r="P17" i="11" s="1"/>
  <c r="Q17" i="11" s="1"/>
  <c r="R17" i="11" s="1"/>
  <c r="G11" i="11"/>
  <c r="H11" i="11"/>
  <c r="I11" i="11" s="1"/>
  <c r="J11" i="11" s="1"/>
  <c r="K11" i="11" s="1"/>
  <c r="L11" i="11" s="1"/>
  <c r="M11" i="11" s="1"/>
  <c r="N11" i="11" s="1"/>
  <c r="F11" i="11"/>
  <c r="E30" i="11"/>
  <c r="E25" i="11"/>
  <c r="E24" i="11"/>
  <c r="E23" i="11"/>
  <c r="E30" i="12"/>
  <c r="E25" i="12"/>
  <c r="E24" i="12"/>
  <c r="E23" i="12"/>
  <c r="G40" i="10" l="1"/>
  <c r="H40" i="10" s="1"/>
  <c r="I40" i="10" s="1"/>
  <c r="J40" i="10" s="1"/>
  <c r="K40" i="10" s="1"/>
  <c r="L40" i="10" s="1"/>
  <c r="M40" i="10" s="1"/>
  <c r="N40" i="10" s="1"/>
  <c r="B52" i="10" s="1"/>
  <c r="B45" i="10"/>
  <c r="B47" i="10"/>
  <c r="B49" i="10"/>
  <c r="B51" i="10"/>
  <c r="B46" i="10"/>
  <c r="B48" i="10"/>
  <c r="B50" i="10"/>
  <c r="R23" i="11"/>
  <c r="B53" i="10" l="1"/>
  <c r="B54" i="10"/>
  <c r="D11" i="12" l="1"/>
  <c r="B17" i="10"/>
  <c r="K14" i="10"/>
  <c r="K15" i="10" s="1"/>
  <c r="J14" i="10"/>
  <c r="J15" i="10" s="1"/>
  <c r="I14" i="10"/>
  <c r="I15" i="10" s="1"/>
  <c r="H14" i="10"/>
  <c r="H15" i="10" s="1"/>
  <c r="G14" i="10"/>
  <c r="G15" i="10" s="1"/>
  <c r="F14" i="10"/>
  <c r="F15" i="10" s="1"/>
  <c r="E14" i="10"/>
  <c r="E15" i="10" s="1"/>
  <c r="D14" i="10"/>
  <c r="D15" i="10" s="1"/>
  <c r="C14" i="10"/>
  <c r="C15" i="10" s="1"/>
  <c r="B14" i="10"/>
  <c r="B15" i="10" s="1"/>
  <c r="F11" i="12" l="1"/>
  <c r="G11" i="12" s="1"/>
  <c r="H11" i="12" s="1"/>
  <c r="I11" i="12" s="1"/>
  <c r="J11" i="12" s="1"/>
  <c r="K11" i="12" s="1"/>
  <c r="L11" i="12" s="1"/>
  <c r="M11" i="12" s="1"/>
  <c r="N11" i="12" s="1"/>
  <c r="E67" i="12"/>
  <c r="N55" i="12"/>
  <c r="M55" i="12"/>
  <c r="L55" i="12"/>
  <c r="K55" i="12"/>
  <c r="J55" i="12"/>
  <c r="I55" i="12"/>
  <c r="H55" i="12"/>
  <c r="G55" i="12"/>
  <c r="F55" i="12"/>
  <c r="E55" i="12"/>
  <c r="D35" i="12"/>
  <c r="E35" i="12" s="1"/>
  <c r="F35" i="12" s="1"/>
  <c r="G35" i="12" s="1"/>
  <c r="H35" i="12" s="1"/>
  <c r="I35" i="12" s="1"/>
  <c r="J35" i="12" s="1"/>
  <c r="K35" i="12" s="1"/>
  <c r="L35" i="12" s="1"/>
  <c r="M35" i="12" s="1"/>
  <c r="N35" i="12" s="1"/>
  <c r="D31" i="12"/>
  <c r="E31" i="12" s="1"/>
  <c r="D30" i="12"/>
  <c r="F29" i="12"/>
  <c r="G29" i="12" s="1"/>
  <c r="H29" i="12" s="1"/>
  <c r="I29" i="12" s="1"/>
  <c r="J29" i="12" s="1"/>
  <c r="K29" i="12" s="1"/>
  <c r="L29" i="12" s="1"/>
  <c r="M29" i="12" s="1"/>
  <c r="N29" i="12" s="1"/>
  <c r="D29" i="12"/>
  <c r="F28" i="12"/>
  <c r="G28" i="12" s="1"/>
  <c r="H28" i="12" s="1"/>
  <c r="I28" i="12" s="1"/>
  <c r="J28" i="12" s="1"/>
  <c r="K28" i="12" s="1"/>
  <c r="L28" i="12" s="1"/>
  <c r="M28" i="12" s="1"/>
  <c r="N28" i="12" s="1"/>
  <c r="D28" i="12"/>
  <c r="F27" i="12"/>
  <c r="G27" i="12" s="1"/>
  <c r="H27" i="12" s="1"/>
  <c r="I27" i="12" s="1"/>
  <c r="J27" i="12" s="1"/>
  <c r="K27" i="12" s="1"/>
  <c r="L27" i="12" s="1"/>
  <c r="M27" i="12" s="1"/>
  <c r="N27" i="12" s="1"/>
  <c r="D27" i="12"/>
  <c r="D26" i="12"/>
  <c r="F26" i="12" s="1"/>
  <c r="G26" i="12" s="1"/>
  <c r="H26" i="12" s="1"/>
  <c r="I26" i="12" s="1"/>
  <c r="J26" i="12" s="1"/>
  <c r="K26" i="12" s="1"/>
  <c r="L26" i="12" s="1"/>
  <c r="M26" i="12" s="1"/>
  <c r="N26" i="12" s="1"/>
  <c r="D25" i="12"/>
  <c r="F25" i="12" s="1"/>
  <c r="G25" i="12" s="1"/>
  <c r="H25" i="12" s="1"/>
  <c r="I25" i="12" s="1"/>
  <c r="J25" i="12" s="1"/>
  <c r="K25" i="12" s="1"/>
  <c r="L25" i="12" s="1"/>
  <c r="M25" i="12" s="1"/>
  <c r="N25" i="12" s="1"/>
  <c r="D24" i="12"/>
  <c r="F24" i="12" s="1"/>
  <c r="G24" i="12" s="1"/>
  <c r="H24" i="12" s="1"/>
  <c r="I24" i="12" s="1"/>
  <c r="J24" i="12" s="1"/>
  <c r="K24" i="12" s="1"/>
  <c r="L24" i="12" s="1"/>
  <c r="M24" i="12" s="1"/>
  <c r="N24" i="12" s="1"/>
  <c r="D23" i="12"/>
  <c r="D17" i="12"/>
  <c r="F17" i="12" s="1"/>
  <c r="G17" i="12" s="1"/>
  <c r="H17" i="12" s="1"/>
  <c r="I17" i="12" s="1"/>
  <c r="J17" i="12" s="1"/>
  <c r="K17" i="12" s="1"/>
  <c r="L17" i="12" s="1"/>
  <c r="M17" i="12" s="1"/>
  <c r="N17" i="12" s="1"/>
  <c r="F16" i="12"/>
  <c r="G16" i="12" s="1"/>
  <c r="H16" i="12" s="1"/>
  <c r="I16" i="12" s="1"/>
  <c r="J16" i="12" s="1"/>
  <c r="K16" i="12" s="1"/>
  <c r="L16" i="12" s="1"/>
  <c r="M16" i="12" s="1"/>
  <c r="N16" i="12" s="1"/>
  <c r="D16" i="12"/>
  <c r="D15" i="12"/>
  <c r="E15" i="12" s="1"/>
  <c r="F15" i="12" s="1"/>
  <c r="G15" i="12" s="1"/>
  <c r="H15" i="12" s="1"/>
  <c r="I15" i="12" s="1"/>
  <c r="J15" i="12" s="1"/>
  <c r="K15" i="12" s="1"/>
  <c r="L15" i="12" s="1"/>
  <c r="M15" i="12" s="1"/>
  <c r="N15" i="12" s="1"/>
  <c r="F14" i="12"/>
  <c r="D14" i="12"/>
  <c r="D13" i="12"/>
  <c r="E13" i="12" s="1"/>
  <c r="F13" i="12" s="1"/>
  <c r="G13" i="12" s="1"/>
  <c r="H13" i="12" s="1"/>
  <c r="I13" i="12" s="1"/>
  <c r="J13" i="12" s="1"/>
  <c r="K13" i="12" s="1"/>
  <c r="L13" i="12" s="1"/>
  <c r="M13" i="12" s="1"/>
  <c r="N13" i="12" s="1"/>
  <c r="D12" i="12"/>
  <c r="E12" i="12" s="1"/>
  <c r="F12" i="12" s="1"/>
  <c r="G12" i="12" s="1"/>
  <c r="H12" i="12" s="1"/>
  <c r="I12" i="12" s="1"/>
  <c r="J12" i="12" s="1"/>
  <c r="K12" i="12" s="1"/>
  <c r="L12" i="12" s="1"/>
  <c r="M12" i="12" s="1"/>
  <c r="N12" i="12" s="1"/>
  <c r="F55" i="11"/>
  <c r="G55" i="11"/>
  <c r="H55" i="11"/>
  <c r="I55" i="11"/>
  <c r="J55" i="11"/>
  <c r="K55" i="11"/>
  <c r="L55" i="11"/>
  <c r="M55" i="11"/>
  <c r="N55" i="11"/>
  <c r="E55" i="11"/>
  <c r="E67" i="11"/>
  <c r="D35" i="11"/>
  <c r="D31" i="11"/>
  <c r="E31" i="11" s="1"/>
  <c r="E33" i="11" s="1"/>
  <c r="D30" i="11"/>
  <c r="D29" i="11"/>
  <c r="D28" i="11"/>
  <c r="D27" i="11"/>
  <c r="D26" i="11"/>
  <c r="D25" i="11"/>
  <c r="D24" i="11"/>
  <c r="D23" i="11"/>
  <c r="D17" i="11"/>
  <c r="D16" i="11"/>
  <c r="D15" i="11"/>
  <c r="E15" i="11" s="1"/>
  <c r="D14" i="11"/>
  <c r="D13" i="11"/>
  <c r="E13" i="11" s="1"/>
  <c r="D12" i="11"/>
  <c r="E12" i="11" s="1"/>
  <c r="F12" i="11" s="1"/>
  <c r="G12" i="11" s="1"/>
  <c r="H12" i="11" s="1"/>
  <c r="I12" i="11" s="1"/>
  <c r="J12" i="11" s="1"/>
  <c r="K12" i="11" s="1"/>
  <c r="L12" i="11" s="1"/>
  <c r="M12" i="11" s="1"/>
  <c r="N12" i="11" s="1"/>
  <c r="O12" i="11" s="1"/>
  <c r="P12" i="11" s="1"/>
  <c r="Q12" i="11" s="1"/>
  <c r="R12" i="11" s="1"/>
  <c r="D11" i="11"/>
  <c r="F31" i="12" l="1"/>
  <c r="E33" i="12"/>
  <c r="D33" i="11"/>
  <c r="D19" i="12"/>
  <c r="F23" i="12"/>
  <c r="D33" i="12"/>
  <c r="G23" i="12"/>
  <c r="F19" i="12"/>
  <c r="G14" i="12"/>
  <c r="E19" i="12"/>
  <c r="F30" i="12"/>
  <c r="D37" i="12"/>
  <c r="D39" i="12" s="1"/>
  <c r="G31" i="12" l="1"/>
  <c r="F33" i="12"/>
  <c r="H23" i="12"/>
  <c r="E37" i="12"/>
  <c r="E50" i="12"/>
  <c r="H14" i="12"/>
  <c r="G19" i="12"/>
  <c r="D41" i="12"/>
  <c r="D43" i="12" s="1"/>
  <c r="G30" i="12"/>
  <c r="E41" i="12"/>
  <c r="E43" i="12" s="1"/>
  <c r="E47" i="12"/>
  <c r="E52" i="12" s="1"/>
  <c r="E65" i="12" s="1"/>
  <c r="E69" i="12" s="1"/>
  <c r="F67" i="12" s="1"/>
  <c r="E39" i="12"/>
  <c r="F47" i="12"/>
  <c r="F41" i="12"/>
  <c r="F43" i="12" s="1"/>
  <c r="H31" i="12" l="1"/>
  <c r="G33" i="12"/>
  <c r="G41" i="12" s="1"/>
  <c r="G43" i="12" s="1"/>
  <c r="I23" i="12"/>
  <c r="H30" i="12"/>
  <c r="G47" i="12"/>
  <c r="F50" i="12"/>
  <c r="F52" i="12" s="1"/>
  <c r="F65" i="12" s="1"/>
  <c r="F69" i="12" s="1"/>
  <c r="G67" i="12" s="1"/>
  <c r="F37" i="12"/>
  <c r="F39" i="12" s="1"/>
  <c r="H19" i="12"/>
  <c r="I14" i="12"/>
  <c r="I31" i="12" l="1"/>
  <c r="H33" i="12"/>
  <c r="J23" i="12"/>
  <c r="J14" i="12"/>
  <c r="I19" i="12"/>
  <c r="I30" i="12"/>
  <c r="H47" i="12"/>
  <c r="H41" i="12"/>
  <c r="H43" i="12" s="1"/>
  <c r="G37" i="12"/>
  <c r="G39" i="12" s="1"/>
  <c r="G50" i="12"/>
  <c r="G52" i="12" s="1"/>
  <c r="G65" i="12" s="1"/>
  <c r="G69" i="12" s="1"/>
  <c r="H67" i="12" s="1"/>
  <c r="J31" i="12" l="1"/>
  <c r="I33" i="12"/>
  <c r="I41" i="12" s="1"/>
  <c r="I43" i="12" s="1"/>
  <c r="K23" i="12"/>
  <c r="J30" i="12"/>
  <c r="I47" i="12"/>
  <c r="H50" i="12"/>
  <c r="H52" i="12" s="1"/>
  <c r="H65" i="12" s="1"/>
  <c r="H69" i="12" s="1"/>
  <c r="I67" i="12" s="1"/>
  <c r="H37" i="12"/>
  <c r="H39" i="12" s="1"/>
  <c r="J19" i="12"/>
  <c r="K14" i="12"/>
  <c r="K31" i="12" l="1"/>
  <c r="J33" i="12"/>
  <c r="L23" i="12"/>
  <c r="L14" i="12"/>
  <c r="K19" i="12"/>
  <c r="I37" i="12"/>
  <c r="I39" i="12" s="1"/>
  <c r="I50" i="12"/>
  <c r="J47" i="12"/>
  <c r="I52" i="12"/>
  <c r="I65" i="12" s="1"/>
  <c r="I69" i="12" s="1"/>
  <c r="J67" i="12" s="1"/>
  <c r="K30" i="12"/>
  <c r="L31" i="12" l="1"/>
  <c r="K33" i="12"/>
  <c r="M23" i="12"/>
  <c r="J50" i="12"/>
  <c r="J52" i="12" s="1"/>
  <c r="J65" i="12" s="1"/>
  <c r="J69" i="12" s="1"/>
  <c r="K67" i="12" s="1"/>
  <c r="J37" i="12"/>
  <c r="J39" i="12" s="1"/>
  <c r="K47" i="12"/>
  <c r="L30" i="12"/>
  <c r="J41" i="12"/>
  <c r="J43" i="12" s="1"/>
  <c r="L19" i="12"/>
  <c r="M14" i="12"/>
  <c r="M31" i="12" l="1"/>
  <c r="L33" i="12"/>
  <c r="N23" i="12"/>
  <c r="L47" i="12"/>
  <c r="K37" i="12"/>
  <c r="K39" i="12" s="1"/>
  <c r="K50" i="12"/>
  <c r="K52" i="12" s="1"/>
  <c r="K65" i="12" s="1"/>
  <c r="K69" i="12" s="1"/>
  <c r="L67" i="12" s="1"/>
  <c r="N14" i="12"/>
  <c r="N19" i="12" s="1"/>
  <c r="M19" i="12"/>
  <c r="M30" i="12"/>
  <c r="K41" i="12"/>
  <c r="K43" i="12" s="1"/>
  <c r="N31" i="12" l="1"/>
  <c r="N33" i="12" s="1"/>
  <c r="M33" i="12"/>
  <c r="L50" i="12"/>
  <c r="L52" i="12" s="1"/>
  <c r="L65" i="12" s="1"/>
  <c r="L69" i="12" s="1"/>
  <c r="M67" i="12" s="1"/>
  <c r="L37" i="12"/>
  <c r="L39" i="12" s="1"/>
  <c r="M47" i="12"/>
  <c r="N30" i="12"/>
  <c r="N47" i="12"/>
  <c r="L41" i="12"/>
  <c r="L43" i="12" s="1"/>
  <c r="N41" i="12" l="1"/>
  <c r="N43" i="12" s="1"/>
  <c r="M37" i="12"/>
  <c r="M39" i="12" s="1"/>
  <c r="M50" i="12"/>
  <c r="M52" i="12" s="1"/>
  <c r="M65" i="12" s="1"/>
  <c r="M69" i="12" s="1"/>
  <c r="N67" i="12" s="1"/>
  <c r="N50" i="12"/>
  <c r="N52" i="12" s="1"/>
  <c r="N65" i="12" s="1"/>
  <c r="N37" i="12"/>
  <c r="N39" i="12" s="1"/>
  <c r="M41" i="12"/>
  <c r="M43" i="12" s="1"/>
  <c r="E35" i="11"/>
  <c r="F35" i="11" s="1"/>
  <c r="G35" i="11" s="1"/>
  <c r="H35" i="11" s="1"/>
  <c r="I35" i="11" s="1"/>
  <c r="J35" i="11" s="1"/>
  <c r="K35" i="11" s="1"/>
  <c r="L35" i="11" s="1"/>
  <c r="M35" i="11" s="1"/>
  <c r="N35" i="11" s="1"/>
  <c r="O35" i="11" s="1"/>
  <c r="P35" i="11" s="1"/>
  <c r="Q35" i="11" s="1"/>
  <c r="R35" i="11" s="1"/>
  <c r="F31" i="11"/>
  <c r="F29" i="11"/>
  <c r="G29" i="11" s="1"/>
  <c r="H29" i="11" s="1"/>
  <c r="I29" i="11" s="1"/>
  <c r="J29" i="11" s="1"/>
  <c r="K29" i="11" s="1"/>
  <c r="L29" i="11" s="1"/>
  <c r="M29" i="11" s="1"/>
  <c r="N29" i="11" s="1"/>
  <c r="F28" i="11"/>
  <c r="G28" i="11" s="1"/>
  <c r="H28" i="11" s="1"/>
  <c r="I28" i="11" s="1"/>
  <c r="J28" i="11" s="1"/>
  <c r="K28" i="11" s="1"/>
  <c r="L28" i="11" s="1"/>
  <c r="M28" i="11" s="1"/>
  <c r="N28" i="11" s="1"/>
  <c r="F27" i="11"/>
  <c r="G27" i="11" s="1"/>
  <c r="H27" i="11" s="1"/>
  <c r="I27" i="11" s="1"/>
  <c r="J27" i="11" s="1"/>
  <c r="K27" i="11" s="1"/>
  <c r="L27" i="11" s="1"/>
  <c r="M27" i="11" s="1"/>
  <c r="N27" i="11" s="1"/>
  <c r="F26" i="11"/>
  <c r="G26" i="11" s="1"/>
  <c r="H26" i="11" s="1"/>
  <c r="I26" i="11" s="1"/>
  <c r="J26" i="11" s="1"/>
  <c r="K26" i="11" s="1"/>
  <c r="L26" i="11" s="1"/>
  <c r="M26" i="11" s="1"/>
  <c r="N26" i="11" s="1"/>
  <c r="F25" i="11"/>
  <c r="G25" i="11" s="1"/>
  <c r="H25" i="11" s="1"/>
  <c r="I25" i="11" s="1"/>
  <c r="J25" i="11" s="1"/>
  <c r="K25" i="11" s="1"/>
  <c r="L25" i="11" s="1"/>
  <c r="M25" i="11" s="1"/>
  <c r="N25" i="11" s="1"/>
  <c r="F24" i="11"/>
  <c r="G24" i="11" s="1"/>
  <c r="H24" i="11" s="1"/>
  <c r="I24" i="11" s="1"/>
  <c r="J24" i="11" s="1"/>
  <c r="K24" i="11" s="1"/>
  <c r="L24" i="11" s="1"/>
  <c r="M24" i="11" s="1"/>
  <c r="N24" i="11" s="1"/>
  <c r="F23" i="11"/>
  <c r="G23" i="11" s="1"/>
  <c r="H23" i="11" s="1"/>
  <c r="I23" i="11" s="1"/>
  <c r="J23" i="11" s="1"/>
  <c r="K23" i="11" s="1"/>
  <c r="L23" i="11" s="1"/>
  <c r="M23" i="11" s="1"/>
  <c r="N23" i="11" s="1"/>
  <c r="F17" i="11"/>
  <c r="G17" i="11" s="1"/>
  <c r="H17" i="11" s="1"/>
  <c r="I17" i="11" s="1"/>
  <c r="J17" i="11" s="1"/>
  <c r="K17" i="11" s="1"/>
  <c r="L17" i="11" s="1"/>
  <c r="M17" i="11" s="1"/>
  <c r="N17" i="11" s="1"/>
  <c r="F16" i="11"/>
  <c r="G16" i="11" s="1"/>
  <c r="H16" i="11" s="1"/>
  <c r="I16" i="11" s="1"/>
  <c r="J16" i="11" s="1"/>
  <c r="K16" i="11" s="1"/>
  <c r="L16" i="11" s="1"/>
  <c r="M16" i="11" s="1"/>
  <c r="N16" i="11" s="1"/>
  <c r="F15" i="11"/>
  <c r="G15" i="11" s="1"/>
  <c r="H15" i="11" s="1"/>
  <c r="I15" i="11" s="1"/>
  <c r="J15" i="11" s="1"/>
  <c r="K15" i="11" s="1"/>
  <c r="L15" i="11" s="1"/>
  <c r="M15" i="11" s="1"/>
  <c r="N15" i="11" s="1"/>
  <c r="O15" i="11" s="1"/>
  <c r="P15" i="11" s="1"/>
  <c r="Q15" i="11" s="1"/>
  <c r="R15" i="11" s="1"/>
  <c r="F14" i="11"/>
  <c r="F13" i="11"/>
  <c r="G13" i="11" s="1"/>
  <c r="H13" i="11" s="1"/>
  <c r="I13" i="11" s="1"/>
  <c r="J13" i="11" s="1"/>
  <c r="K13" i="11" s="1"/>
  <c r="L13" i="11" s="1"/>
  <c r="M13" i="11" s="1"/>
  <c r="N13" i="11" s="1"/>
  <c r="O13" i="11" s="1"/>
  <c r="B18" i="10" l="1"/>
  <c r="P13" i="11"/>
  <c r="O19" i="11"/>
  <c r="G31" i="11"/>
  <c r="F33" i="11"/>
  <c r="N69" i="12"/>
  <c r="F19" i="11"/>
  <c r="G14" i="11"/>
  <c r="D19" i="11"/>
  <c r="E19" i="11"/>
  <c r="D37" i="11"/>
  <c r="F30" i="11"/>
  <c r="O47" i="11" l="1"/>
  <c r="H31" i="11"/>
  <c r="G33" i="11"/>
  <c r="Q13" i="11"/>
  <c r="P19" i="11"/>
  <c r="G30" i="11"/>
  <c r="E41" i="11"/>
  <c r="E43" i="11" s="1"/>
  <c r="E47" i="11"/>
  <c r="H14" i="11"/>
  <c r="G19" i="11"/>
  <c r="E37" i="11"/>
  <c r="E39" i="11" s="1"/>
  <c r="E50" i="11"/>
  <c r="D39" i="11"/>
  <c r="D41" i="11"/>
  <c r="D43" i="11" s="1"/>
  <c r="F47" i="11"/>
  <c r="F41" i="11"/>
  <c r="F43" i="11" s="1"/>
  <c r="R13" i="11" l="1"/>
  <c r="R19" i="11" s="1"/>
  <c r="Q19" i="11"/>
  <c r="I31" i="11"/>
  <c r="H33" i="11"/>
  <c r="P47" i="11"/>
  <c r="H19" i="11"/>
  <c r="I14" i="11"/>
  <c r="E52" i="11"/>
  <c r="E65" i="11" s="1"/>
  <c r="E69" i="11" s="1"/>
  <c r="F67" i="11" s="1"/>
  <c r="F50" i="11"/>
  <c r="F52" i="11" s="1"/>
  <c r="F65" i="11" s="1"/>
  <c r="F37" i="11"/>
  <c r="F39" i="11" s="1"/>
  <c r="G47" i="11"/>
  <c r="H30" i="11"/>
  <c r="Q47" i="11" l="1"/>
  <c r="J31" i="11"/>
  <c r="I33" i="11"/>
  <c r="R47" i="11"/>
  <c r="F69" i="11"/>
  <c r="G67" i="11" s="1"/>
  <c r="G37" i="11"/>
  <c r="G39" i="11" s="1"/>
  <c r="G50" i="11"/>
  <c r="G52" i="11" s="1"/>
  <c r="G65" i="11" s="1"/>
  <c r="H47" i="11"/>
  <c r="I30" i="11"/>
  <c r="G41" i="11"/>
  <c r="G43" i="11" s="1"/>
  <c r="J14" i="11"/>
  <c r="I19" i="11"/>
  <c r="K31" i="11" l="1"/>
  <c r="J33" i="11"/>
  <c r="G69" i="11"/>
  <c r="H67" i="11" s="1"/>
  <c r="I47" i="11"/>
  <c r="J30" i="11"/>
  <c r="J19" i="11"/>
  <c r="K14" i="11"/>
  <c r="H50" i="11"/>
  <c r="H52" i="11" s="1"/>
  <c r="H65" i="11" s="1"/>
  <c r="H37" i="11"/>
  <c r="H39" i="11" s="1"/>
  <c r="H41" i="11"/>
  <c r="H43" i="11" s="1"/>
  <c r="H69" i="11" l="1"/>
  <c r="I67" i="11" s="1"/>
  <c r="L31" i="11"/>
  <c r="K33" i="11"/>
  <c r="J47" i="11"/>
  <c r="I37" i="11"/>
  <c r="I39" i="11" s="1"/>
  <c r="I50" i="11"/>
  <c r="I52" i="11" s="1"/>
  <c r="I65" i="11" s="1"/>
  <c r="L14" i="11"/>
  <c r="K19" i="11"/>
  <c r="K30" i="11"/>
  <c r="J41" i="11"/>
  <c r="J43" i="11" s="1"/>
  <c r="I41" i="11"/>
  <c r="I43" i="11" s="1"/>
  <c r="I69" i="11" l="1"/>
  <c r="J67" i="11" s="1"/>
  <c r="M31" i="11"/>
  <c r="L33" i="11"/>
  <c r="K41" i="11"/>
  <c r="K43" i="11" s="1"/>
  <c r="L30" i="11"/>
  <c r="L19" i="11"/>
  <c r="M14" i="11"/>
  <c r="J50" i="11"/>
  <c r="J52" i="11" s="1"/>
  <c r="J65" i="11" s="1"/>
  <c r="J37" i="11"/>
  <c r="J39" i="11" s="1"/>
  <c r="K47" i="11"/>
  <c r="J69" i="11" l="1"/>
  <c r="K67" i="11" s="1"/>
  <c r="N31" i="11"/>
  <c r="M33" i="11"/>
  <c r="N14" i="11"/>
  <c r="N19" i="11" s="1"/>
  <c r="M19" i="11"/>
  <c r="M30" i="11"/>
  <c r="L41" i="11"/>
  <c r="L43" i="11" s="1"/>
  <c r="L47" i="11"/>
  <c r="K37" i="11"/>
  <c r="K39" i="11" s="1"/>
  <c r="K50" i="11"/>
  <c r="K52" i="11" s="1"/>
  <c r="K65" i="11" s="1"/>
  <c r="K69" i="11" l="1"/>
  <c r="L67" i="11" s="1"/>
  <c r="O31" i="11"/>
  <c r="N33" i="11"/>
  <c r="M41" i="11"/>
  <c r="M43" i="11" s="1"/>
  <c r="N30" i="11"/>
  <c r="N41" i="11" s="1"/>
  <c r="N43" i="11" s="1"/>
  <c r="N47" i="11"/>
  <c r="L50" i="11"/>
  <c r="L52" i="11" s="1"/>
  <c r="L65" i="11" s="1"/>
  <c r="L69" i="11" s="1"/>
  <c r="M67" i="11" s="1"/>
  <c r="L37" i="11"/>
  <c r="L39" i="11" s="1"/>
  <c r="M47" i="11"/>
  <c r="P31" i="11" l="1"/>
  <c r="O33" i="11"/>
  <c r="M37" i="11"/>
  <c r="M39" i="11" s="1"/>
  <c r="M50" i="11"/>
  <c r="M52" i="11" s="1"/>
  <c r="M65" i="11" s="1"/>
  <c r="M69" i="11" s="1"/>
  <c r="N67" i="11" s="1"/>
  <c r="N50" i="11"/>
  <c r="N52" i="11" s="1"/>
  <c r="N65" i="11" s="1"/>
  <c r="N37" i="11"/>
  <c r="N39" i="11" s="1"/>
  <c r="O50" i="11" l="1"/>
  <c r="O52" i="11" s="1"/>
  <c r="O65" i="11" s="1"/>
  <c r="O69" i="11" s="1"/>
  <c r="P67" i="11" s="1"/>
  <c r="O37" i="11"/>
  <c r="O39" i="11" s="1"/>
  <c r="O41" i="11"/>
  <c r="O43" i="11" s="1"/>
  <c r="Q31" i="11"/>
  <c r="P33" i="11"/>
  <c r="N69" i="11"/>
  <c r="O67" i="11" s="1"/>
  <c r="R31" i="11" l="1"/>
  <c r="R33" i="11" s="1"/>
  <c r="Q33" i="11"/>
  <c r="P50" i="11"/>
  <c r="P52" i="11" s="1"/>
  <c r="P65" i="11" s="1"/>
  <c r="P69" i="11" s="1"/>
  <c r="Q67" i="11" s="1"/>
  <c r="P37" i="11"/>
  <c r="P39" i="11" s="1"/>
  <c r="P41" i="11"/>
  <c r="P43" i="11" s="1"/>
  <c r="Q50" i="11" l="1"/>
  <c r="Q52" i="11" s="1"/>
  <c r="Q65" i="11" s="1"/>
  <c r="Q69" i="11" s="1"/>
  <c r="R67" i="11" s="1"/>
  <c r="R69" i="11" s="1"/>
  <c r="Q37" i="11"/>
  <c r="Q39" i="11" s="1"/>
  <c r="Q41" i="11"/>
  <c r="Q43" i="11" s="1"/>
  <c r="R50" i="11"/>
  <c r="R52" i="11" s="1"/>
  <c r="R65" i="11" s="1"/>
  <c r="R37" i="11"/>
  <c r="R39" i="11" s="1"/>
  <c r="R41" i="11"/>
  <c r="R43" i="11" s="1"/>
</calcChain>
</file>

<file path=xl/comments1.xml><?xml version="1.0" encoding="utf-8"?>
<comments xmlns="http://schemas.openxmlformats.org/spreadsheetml/2006/main">
  <authors>
    <author>Neil</author>
  </authors>
  <commentList>
    <comment ref="E38" authorId="0">
      <text>
        <r>
          <rPr>
            <b/>
            <sz val="9"/>
            <color indexed="81"/>
            <rFont val="Tahoma"/>
            <family val="2"/>
          </rPr>
          <t>Neil:</t>
        </r>
        <r>
          <rPr>
            <sz val="9"/>
            <color indexed="81"/>
            <rFont val="Tahoma"/>
            <family val="2"/>
          </rPr>
          <t xml:space="preserve">
Figures considered from Budget 2013</t>
        </r>
      </text>
    </comment>
  </commentList>
</comments>
</file>

<file path=xl/comments2.xml><?xml version="1.0" encoding="utf-8"?>
<comments xmlns="http://schemas.openxmlformats.org/spreadsheetml/2006/main">
  <authors>
    <author>Neil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Neil:</t>
        </r>
        <r>
          <rPr>
            <sz val="9"/>
            <color indexed="81"/>
            <rFont val="Tahoma"/>
            <family val="2"/>
          </rPr>
          <t xml:space="preserve">
Figures considered from Budget 2013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>Neil:</t>
        </r>
        <r>
          <rPr>
            <sz val="9"/>
            <color indexed="81"/>
            <rFont val="Tahoma"/>
            <family val="2"/>
          </rPr>
          <t xml:space="preserve">
Figures considered from Budget 2013</t>
        </r>
      </text>
    </comment>
  </commentList>
</comments>
</file>

<file path=xl/comments3.xml><?xml version="1.0" encoding="utf-8"?>
<comments xmlns="http://schemas.openxmlformats.org/spreadsheetml/2006/main">
  <authors>
    <author>Neil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Neil:</t>
        </r>
        <r>
          <rPr>
            <sz val="9"/>
            <color indexed="81"/>
            <rFont val="Tahoma"/>
            <family val="2"/>
          </rPr>
          <t xml:space="preserve">
Figures considered from Budget 2013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>Neil:</t>
        </r>
        <r>
          <rPr>
            <sz val="9"/>
            <color indexed="81"/>
            <rFont val="Tahoma"/>
            <family val="2"/>
          </rPr>
          <t xml:space="preserve">
Figures considered from Budget 2013</t>
        </r>
      </text>
    </comment>
  </commentList>
</comments>
</file>

<file path=xl/sharedStrings.xml><?xml version="1.0" encoding="utf-8"?>
<sst xmlns="http://schemas.openxmlformats.org/spreadsheetml/2006/main" count="265" uniqueCount="139">
  <si>
    <t>REVENUES</t>
  </si>
  <si>
    <t>Total Revenues</t>
  </si>
  <si>
    <t>2013E</t>
  </si>
  <si>
    <t>2014E</t>
  </si>
  <si>
    <t>2015E</t>
  </si>
  <si>
    <t>2016E</t>
  </si>
  <si>
    <t>2017E</t>
  </si>
  <si>
    <t>2018E</t>
  </si>
  <si>
    <t>2019E</t>
  </si>
  <si>
    <t>2020E</t>
  </si>
  <si>
    <t>2021E</t>
  </si>
  <si>
    <t>EXPENDITURES</t>
  </si>
  <si>
    <t>General government</t>
  </si>
  <si>
    <t>Transportation services</t>
  </si>
  <si>
    <t>Environmental services</t>
  </si>
  <si>
    <t>Health services</t>
  </si>
  <si>
    <t>Social &amp; family services</t>
  </si>
  <si>
    <t>Recreation &amp; cultural services</t>
  </si>
  <si>
    <t>Planning &amp; development</t>
  </si>
  <si>
    <t>Consolidated Statement of Operations</t>
  </si>
  <si>
    <t>2022E</t>
  </si>
  <si>
    <t>OPERATING RATIOS</t>
  </si>
  <si>
    <t>Description</t>
  </si>
  <si>
    <t>Financial Performance Mix</t>
  </si>
  <si>
    <t>Revenue Mix:</t>
  </si>
  <si>
    <t>Own revenue/Total revenue</t>
  </si>
  <si>
    <t>Total Charges/Total revenue</t>
  </si>
  <si>
    <t>Property Tax/Total revenue</t>
  </si>
  <si>
    <t>Provincial Grants/Total revenue</t>
  </si>
  <si>
    <t>Service Mix:</t>
  </si>
  <si>
    <t>Current exp/Total Expenditure</t>
  </si>
  <si>
    <t>General government/Total expenditure</t>
  </si>
  <si>
    <t>Protection to/Total expenditure</t>
  </si>
  <si>
    <t>Transportation services/Total expenditure</t>
  </si>
  <si>
    <t>Environmental svcs/Total expenditure</t>
  </si>
  <si>
    <t>Health svcs/Total expenditure</t>
  </si>
  <si>
    <t>Social &amp; Family svcs/Total expenditure</t>
  </si>
  <si>
    <t>Recreation/Total expenditure</t>
  </si>
  <si>
    <t>Planning &amp; development/Total expenditure</t>
  </si>
  <si>
    <t>Debt Requirements:</t>
  </si>
  <si>
    <t>Total debt/Total Revenue</t>
  </si>
  <si>
    <t>Interest expenditure/Total revenue</t>
  </si>
  <si>
    <t>General debt/Total Revenue</t>
  </si>
  <si>
    <t>Short-Term debt/total revenue</t>
  </si>
  <si>
    <t>Debt service exp/total expenditure</t>
  </si>
  <si>
    <t>Short-Term debt/total expenditure</t>
  </si>
  <si>
    <t>Total funds/total debts</t>
  </si>
  <si>
    <t>interest expenditure/total debt</t>
  </si>
  <si>
    <t>Operating Surplus Ratio</t>
  </si>
  <si>
    <t>Net Financial Liability Ratio</t>
  </si>
  <si>
    <t>Asset sustainability Ratio/Asset Renewal Funding Ratio</t>
  </si>
  <si>
    <t>Taxation</t>
  </si>
  <si>
    <t>Investment income</t>
  </si>
  <si>
    <t>Annual surplus (deficit)</t>
  </si>
  <si>
    <t>Notes/Suggestions:</t>
  </si>
  <si>
    <t>Tax Debt Charges as a % of Tax Own Source Revenues should not exceed a target of X %.</t>
  </si>
  <si>
    <t>Long term debt financing should be restricted:</t>
  </si>
  <si>
    <t>– New initiatives</t>
  </si>
  <si>
    <t>– Projects supported by a business plan</t>
  </si>
  <si>
    <t>– Projects where the cost of deferring expenditures exceeds debt servicing</t>
  </si>
  <si>
    <t>– Project costs not recovered from DCs</t>
  </si>
  <si>
    <t>– Projects tied to third party matching funding</t>
  </si>
  <si>
    <t>– Note: These restrictions may have to be phased in to meet short term budget challenges</t>
  </si>
  <si>
    <t>An analysis will be prepared annually showing conformance with debt policies</t>
  </si>
  <si>
    <t>Term of debt will not exceed the useful life of the underlying asset.</t>
  </si>
  <si>
    <t>Options and Strategies</t>
  </si>
  <si>
    <t>Issuing additional debt/funding to address funding gap up to the recommend funding gap up to the recommend policy limit of debt chrages of X % of total own sources revenues</t>
  </si>
  <si>
    <t>Increasing reserve contributions/capital from taxation by implementing policy recommendations to gradually increase contribution to the renewal of assets</t>
  </si>
  <si>
    <t>Reducing capital program requirements through capital prioritization</t>
  </si>
  <si>
    <t>Additional grant funding to leverage other levels of government where there is alignment with the community’s priorities</t>
  </si>
  <si>
    <t>Additional departmental efficiencies or program reductions.</t>
  </si>
  <si>
    <t>Recommendations</t>
  </si>
  <si>
    <t>Township is facing Operating deficit, needs more detailed analysis</t>
  </si>
  <si>
    <t>Sustaining the healthy reserves/surplus, look for government funding for prioritized projects</t>
  </si>
  <si>
    <t>Undertake a detalied Long Term Strategic Financial Plan study to understand the scope to improve efficiency &amp; effectivness</t>
  </si>
  <si>
    <t>Implement recommendations from the Long term Strategic Financial Plan to be able to leverage existing capacity &amp; create more</t>
  </si>
  <si>
    <t>Financial Forecasting Template</t>
  </si>
  <si>
    <t>Projected Consolidated Statement of Operations</t>
  </si>
  <si>
    <t>Projected Consolidated Capital Plan</t>
  </si>
  <si>
    <t>Year 2013-2022</t>
  </si>
  <si>
    <t>Asset Type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</si>
  <si>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</si>
  <si>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</si>
  <si>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</si>
  <si>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</si>
  <si>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</si>
  <si>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</si>
  <si>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</si>
  <si>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</si>
  <si>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</si>
  <si>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</si>
  <si>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Equipment</t>
  </si>
  <si>
    <t>Building</t>
  </si>
  <si>
    <t>Vehicle</t>
  </si>
  <si>
    <t>Recreation Area</t>
  </si>
  <si>
    <t>Roads</t>
  </si>
  <si>
    <t>Total</t>
  </si>
  <si>
    <r>
      <t xml:space="preserve">Total </t>
    </r>
    <r>
      <rPr>
        <b/>
        <i/>
        <sz val="10"/>
        <color indexed="8"/>
        <rFont val="Arial"/>
        <family val="2"/>
      </rPr>
      <t>(Inflation+PST)</t>
    </r>
  </si>
  <si>
    <t>Property taxes</t>
  </si>
  <si>
    <t>Govt grants</t>
  </si>
  <si>
    <t>Revenue from other municipalities</t>
  </si>
  <si>
    <t>User fees &amp; service charges</t>
  </si>
  <si>
    <t>Licences &amp; permit</t>
  </si>
  <si>
    <t>Fines &amp; penalities</t>
  </si>
  <si>
    <t>Protection to persons &amp; property</t>
  </si>
  <si>
    <t>Social Housing</t>
  </si>
  <si>
    <t>Operating Expenditures</t>
  </si>
  <si>
    <t>Asset Amortization Expense</t>
  </si>
  <si>
    <t>Total Expenses</t>
  </si>
  <si>
    <t>Existing Contribution</t>
  </si>
  <si>
    <t>Gas Tax</t>
  </si>
  <si>
    <t>Current Contributions</t>
  </si>
  <si>
    <t>Statement of Cash Flow</t>
  </si>
  <si>
    <t>Cash Paid For</t>
  </si>
  <si>
    <t xml:space="preserve">     Operating Costs</t>
  </si>
  <si>
    <t xml:space="preserve">     Debt Repayment - Debt Interest</t>
  </si>
  <si>
    <t>Cash Provided From Operating Transactions</t>
  </si>
  <si>
    <t>Capital Transactions</t>
  </si>
  <si>
    <t xml:space="preserve">     Acquisition of TCA</t>
  </si>
  <si>
    <t>Finance Transactions</t>
  </si>
  <si>
    <t xml:space="preserve">     Proceeds from Debt Issues</t>
  </si>
  <si>
    <t xml:space="preserve">     Proceeds from Other Sources - Gas Tax</t>
  </si>
  <si>
    <t xml:space="preserve">     Proceeds from DCs</t>
  </si>
  <si>
    <t xml:space="preserve">     Proceeds from Grants and Subsidies</t>
  </si>
  <si>
    <t xml:space="preserve">     Debt Repayment - Principal</t>
  </si>
  <si>
    <t>Increase/(Decrease) in Cash Equivalents</t>
  </si>
  <si>
    <t>Cash and Cash Equivalents at Beginning Balance</t>
  </si>
  <si>
    <t>Cash and Cash Equivalents at Ending Balance</t>
  </si>
  <si>
    <t>User Fees &amp; Other Revenues</t>
  </si>
  <si>
    <t>Government Grants</t>
  </si>
  <si>
    <t>Investment</t>
  </si>
  <si>
    <t>Other</t>
  </si>
  <si>
    <t>Expenditures</t>
  </si>
  <si>
    <t>Required Contribution</t>
  </si>
  <si>
    <t>Current Contribution</t>
  </si>
  <si>
    <t>Property taxes @ 3.3%</t>
  </si>
  <si>
    <t>Property taxes @ 2.3%</t>
  </si>
  <si>
    <t>1% Infrastructure Levy</t>
  </si>
  <si>
    <t>Average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</si>
</sst>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0.0%"/>
    <numFmt numFmtId="168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6" fontId="1" fillId="0" borderId="1" xfId="1" applyNumberFormat="1" applyFont="1" applyBorder="1" applyAlignment="1">
      <alignment vertical="center"/>
    </xf>
    <xf numFmtId="166" fontId="1" fillId="0" borderId="1" xfId="1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0" borderId="0" xfId="1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6" fontId="3" fillId="0" borderId="1" xfId="1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66" fontId="1" fillId="0" borderId="0" xfId="0" applyNumberFormat="1" applyFont="1" applyAlignment="1">
      <alignment horizontal="center" vertical="center"/>
    </xf>
    <xf numFmtId="166" fontId="5" fillId="0" borderId="1" xfId="1" applyNumberFormat="1" applyFont="1" applyBorder="1" applyAlignment="1">
      <alignment horizontal="center" vertical="center"/>
    </xf>
    <xf numFmtId="0" fontId="5" fillId="0" borderId="1" xfId="0" applyFont="1" applyBorder="1"/>
    <xf numFmtId="0" fontId="1" fillId="0" borderId="1" xfId="0" applyFont="1" applyBorder="1" applyAlignment="1"/>
    <xf numFmtId="0" fontId="1" fillId="0" borderId="0" xfId="0" applyFont="1" applyAlignment="1"/>
    <xf numFmtId="0" fontId="1" fillId="0" borderId="0" xfId="0" applyFont="1" applyAlignment="1">
      <alignment wrapText="1"/>
    </xf>
    <xf numFmtId="164" fontId="7" fillId="0" borderId="1" xfId="3" applyFont="1" applyFill="1" applyBorder="1" applyAlignment="1">
      <alignment vertical="top"/>
    </xf>
    <xf numFmtId="164" fontId="7" fillId="0" borderId="1" xfId="3" applyFont="1" applyFill="1" applyBorder="1" applyAlignment="1">
      <alignment horizontal="left" vertical="top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66" fontId="6" fillId="0" borderId="1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6" fontId="5" fillId="0" borderId="0" xfId="1" applyNumberFormat="1" applyFont="1" applyBorder="1" applyAlignment="1">
      <alignment horizontal="center" vertical="center"/>
    </xf>
    <xf numFmtId="166" fontId="6" fillId="0" borderId="0" xfId="1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6" fontId="5" fillId="0" borderId="9" xfId="1" applyNumberFormat="1" applyFont="1" applyBorder="1" applyAlignment="1">
      <alignment horizontal="center" vertical="center"/>
    </xf>
    <xf numFmtId="166" fontId="6" fillId="0" borderId="9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166" fontId="5" fillId="0" borderId="10" xfId="1" applyNumberFormat="1" applyFont="1" applyBorder="1" applyAlignment="1">
      <alignment horizontal="center" vertical="center"/>
    </xf>
    <xf numFmtId="166" fontId="6" fillId="0" borderId="10" xfId="1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2" fillId="0" borderId="1" xfId="0" applyFont="1" applyBorder="1"/>
    <xf numFmtId="168" fontId="1" fillId="0" borderId="1" xfId="3" applyNumberFormat="1" applyFont="1" applyBorder="1" applyAlignment="1">
      <alignment horizontal="center" vertical="center"/>
    </xf>
    <xf numFmtId="0" fontId="13" fillId="0" borderId="1" xfId="0" applyFont="1" applyBorder="1"/>
    <xf numFmtId="0" fontId="12" fillId="0" borderId="1" xfId="0" applyFont="1" applyBorder="1" applyAlignment="1">
      <alignment wrapText="1"/>
    </xf>
    <xf numFmtId="0" fontId="13" fillId="0" borderId="1" xfId="0" applyFont="1" applyFill="1" applyBorder="1"/>
    <xf numFmtId="168" fontId="1" fillId="0" borderId="0" xfId="3" applyNumberFormat="1" applyFont="1" applyAlignment="1">
      <alignment horizontal="center" vertical="center"/>
    </xf>
    <xf numFmtId="0" fontId="13" fillId="5" borderId="5" xfId="0" applyFont="1" applyFill="1" applyBorder="1" applyAlignment="1">
      <alignment wrapText="1"/>
    </xf>
    <xf numFmtId="0" fontId="1" fillId="5" borderId="6" xfId="0" applyFont="1" applyFill="1" applyBorder="1"/>
    <xf numFmtId="168" fontId="1" fillId="5" borderId="6" xfId="3" applyNumberFormat="1" applyFont="1" applyFill="1" applyBorder="1"/>
    <xf numFmtId="0" fontId="13" fillId="0" borderId="13" xfId="0" applyFont="1" applyBorder="1"/>
    <xf numFmtId="0" fontId="1" fillId="0" borderId="0" xfId="0" applyFont="1" applyBorder="1"/>
    <xf numFmtId="168" fontId="1" fillId="5" borderId="6" xfId="0" applyNumberFormat="1" applyFont="1" applyFill="1" applyBorder="1"/>
    <xf numFmtId="0" fontId="1" fillId="0" borderId="14" xfId="0" applyFont="1" applyBorder="1" applyAlignment="1">
      <alignment horizontal="left" vertical="center"/>
    </xf>
    <xf numFmtId="167" fontId="1" fillId="0" borderId="9" xfId="2" applyNumberFormat="1" applyFont="1" applyBorder="1" applyAlignment="1">
      <alignment horizontal="center" vertical="center"/>
    </xf>
    <xf numFmtId="167" fontId="1" fillId="0" borderId="15" xfId="2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167" fontId="1" fillId="0" borderId="0" xfId="2" applyNumberFormat="1" applyFont="1" applyBorder="1" applyAlignment="1">
      <alignment horizontal="center" vertical="center"/>
    </xf>
    <xf numFmtId="167" fontId="1" fillId="0" borderId="16" xfId="2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167" fontId="1" fillId="0" borderId="10" xfId="2" applyNumberFormat="1" applyFont="1" applyBorder="1" applyAlignment="1">
      <alignment horizontal="center" vertical="center"/>
    </xf>
    <xf numFmtId="167" fontId="1" fillId="0" borderId="18" xfId="2" applyNumberFormat="1" applyFont="1" applyBorder="1" applyAlignment="1">
      <alignment horizontal="center" vertical="center"/>
    </xf>
    <xf numFmtId="164" fontId="14" fillId="0" borderId="1" xfId="3" applyFont="1" applyFill="1" applyBorder="1" applyAlignment="1">
      <alignment horizontal="center" vertical="center"/>
    </xf>
    <xf numFmtId="164" fontId="14" fillId="0" borderId="1" xfId="3" applyFont="1" applyFill="1" applyBorder="1" applyAlignment="1">
      <alignment horizontal="center" vertical="center" wrapText="1"/>
    </xf>
    <xf numFmtId="164" fontId="9" fillId="6" borderId="1" xfId="3" applyFont="1" applyFill="1" applyBorder="1" applyAlignment="1">
      <alignment vertical="top"/>
    </xf>
    <xf numFmtId="168" fontId="9" fillId="6" borderId="1" xfId="3" applyNumberFormat="1" applyFont="1" applyFill="1" applyBorder="1" applyAlignment="1" applyProtection="1">
      <alignment vertical="top" wrapText="1"/>
    </xf>
    <xf numFmtId="0" fontId="5" fillId="6" borderId="1" xfId="0" applyFont="1" applyFill="1" applyBorder="1"/>
    <xf numFmtId="168" fontId="8" fillId="4" borderId="1" xfId="3" applyNumberFormat="1" applyFont="1" applyFill="1" applyBorder="1" applyAlignment="1" applyProtection="1">
      <alignment vertical="top"/>
    </xf>
    <xf numFmtId="168" fontId="8" fillId="4" borderId="1" xfId="3" applyNumberFormat="1" applyFont="1" applyFill="1" applyBorder="1" applyAlignment="1" applyProtection="1">
      <alignment vertical="top" wrapText="1"/>
    </xf>
    <xf numFmtId="168" fontId="15" fillId="0" borderId="1" xfId="0" applyNumberFormat="1" applyFont="1" applyBorder="1"/>
    <xf numFmtId="168" fontId="1" fillId="0" borderId="1" xfId="0" applyNumberFormat="1" applyFont="1" applyBorder="1"/>
    <xf numFmtId="0" fontId="15" fillId="0" borderId="0" xfId="0" applyFont="1"/>
    <xf numFmtId="0" fontId="11" fillId="0" borderId="0" xfId="0" applyFont="1"/>
    <xf numFmtId="0" fontId="3" fillId="0" borderId="0" xfId="0" applyFont="1"/>
    <xf numFmtId="168" fontId="9" fillId="6" borderId="1" xfId="3" applyNumberFormat="1" applyFont="1" applyFill="1" applyBorder="1" applyAlignment="1" applyProtection="1">
      <alignment vertical="top"/>
    </xf>
    <xf numFmtId="0" fontId="1" fillId="0" borderId="1" xfId="0" applyFont="1" applyBorder="1" applyAlignment="1">
      <alignment horizontal="center"/>
    </xf>
    <xf numFmtId="164" fontId="11" fillId="3" borderId="1" xfId="3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8" xfId="0" applyFont="1" applyBorder="1" applyAlignment="1">
      <alignment vertic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'Capital Plan'!$B$8:$K$8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'Capital Plan'!$B$14:$K$14</c:f>
              <c:numCache>
                <c:formatCode>_("$"* #,##0_);_("$"* \(#,##0\);_("$"* "-"??_);_(@_)</c:formatCode>
                <c:ptCount val="10"/>
                <c:pt idx="0">
                  <c:v>347017.57</c:v>
                </c:pt>
                <c:pt idx="1">
                  <c:v>423437.52</c:v>
                </c:pt>
                <c:pt idx="2">
                  <c:v>683580</c:v>
                </c:pt>
                <c:pt idx="3">
                  <c:v>331381</c:v>
                </c:pt>
                <c:pt idx="4">
                  <c:v>413475</c:v>
                </c:pt>
                <c:pt idx="5">
                  <c:v>515247.92</c:v>
                </c:pt>
                <c:pt idx="6">
                  <c:v>52836</c:v>
                </c:pt>
                <c:pt idx="7">
                  <c:v>401227.24</c:v>
                </c:pt>
                <c:pt idx="8">
                  <c:v>581453.77</c:v>
                </c:pt>
                <c:pt idx="9">
                  <c:v>394562.25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885248"/>
        <c:axId val="107133568"/>
      </c:barChart>
      <c:catAx>
        <c:axId val="10488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7133568"/>
        <c:crosses val="autoZero"/>
        <c:auto val="1"/>
        <c:lblAlgn val="ctr"/>
        <c:lblOffset val="100"/>
        <c:noMultiLvlLbl val="0"/>
      </c:catAx>
      <c:valAx>
        <c:axId val="10713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4885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2</xdr:row>
      <xdr:rowOff>104774</xdr:rowOff>
    </xdr:to>
    <xdr:pic>
      <xdr:nvPicPr>
        <xdr:cNvPr id="2" name="Picture 1" descr="http://lakeofthewoods.ca/wp-content/uploads/2012/10/logo-low.jpg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52725" cy="48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514349</xdr:colOff>
      <xdr:row>18</xdr:row>
      <xdr:rowOff>100011</xdr:rowOff>
    </xdr:from>
    <xdr:to>
      <xdr:col>11</xdr:col>
      <xdr:colOff>419099</xdr:colOff>
      <xdr:row>33</xdr:row>
      <xdr:rowOff>47624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514350</xdr:colOff>
      <xdr:row>27</xdr:row>
      <xdr:rowOff>142875</xdr:rowOff>
    </xdr:from>
    <xdr:to>
      <xdr:col>11</xdr:col>
      <xdr:colOff>304800</xdr:colOff>
      <xdr:row>27</xdr:row>
      <xdr:rowOff>171451</xdr:rowOff>
    </xdr:to>
    <xdr:cxnSp macro="">
      <xdr:nvCxnSpPr>
        <xdr:cNvPr id="4" name="Straight Connector 3"/>
        <xdr:cNvCxnSpPr/>
      </xdr:nvCxnSpPr>
      <xdr:spPr>
        <a:xfrm flipV="1">
          <a:off x="3952875" y="5295900"/>
          <a:ext cx="4991100" cy="28576"/>
        </a:xfrm>
        <a:prstGeom prst="line">
          <a:avLst/>
        </a:prstGeom>
        <a:ln w="25400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552450</xdr:colOff>
      <xdr:row>25</xdr:row>
      <xdr:rowOff>47625</xdr:rowOff>
    </xdr:from>
    <xdr:to>
      <xdr:col>11</xdr:col>
      <xdr:colOff>314325</xdr:colOff>
      <xdr:row>25</xdr:row>
      <xdr:rowOff>57151</xdr:rowOff>
    </xdr:to>
    <xdr:cxnSp macro="">
      <xdr:nvCxnSpPr>
        <xdr:cNvPr id="6" name="Straight Connector 5"/>
        <xdr:cNvCxnSpPr/>
      </xdr:nvCxnSpPr>
      <xdr:spPr>
        <a:xfrm flipV="1">
          <a:off x="3990975" y="4819650"/>
          <a:ext cx="4495800" cy="9526"/>
        </a:xfrm>
        <a:prstGeom prst="line">
          <a:avLst/>
        </a:prstGeom>
        <a:ln w="25400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533400</xdr:colOff>
      <xdr:row>23</xdr:row>
      <xdr:rowOff>66675</xdr:rowOff>
    </xdr:from>
    <xdr:to>
      <xdr:col>7</xdr:col>
      <xdr:colOff>28575</xdr:colOff>
      <xdr:row>25</xdr:row>
      <xdr:rowOff>28575</xdr:rowOff>
    </xdr:to>
    <xdr:cxnSp macro="">
      <xdr:nvCxnSpPr>
        <xdr:cNvPr id="8" name="Straight Arrow Connector 7"/>
        <xdr:cNvCxnSpPr/>
      </xdr:nvCxnSpPr>
      <xdr:spPr>
        <a:xfrm flipH="1">
          <a:off x="5343525" y="4457700"/>
          <a:ext cx="180975" cy="34290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114302</xdr:colOff>
      <xdr:row>21</xdr:row>
      <xdr:rowOff>76200</xdr:rowOff>
    </xdr:from>
    <xdr:to>
      <xdr:col>9</xdr:col>
      <xdr:colOff>0</xdr:colOff>
      <xdr:row>27</xdr:row>
      <xdr:rowOff>57150</xdr:rowOff>
    </xdr:to>
    <xdr:cxnSp macro="">
      <xdr:nvCxnSpPr>
        <xdr:cNvPr id="9" name="Straight Arrow Connector 8"/>
        <xdr:cNvCxnSpPr/>
      </xdr:nvCxnSpPr>
      <xdr:spPr>
        <a:xfrm flipH="1">
          <a:off x="6229352" y="4086225"/>
          <a:ext cx="571498" cy="112395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19051</xdr:colOff>
      <xdr:row>20</xdr:row>
      <xdr:rowOff>57150</xdr:rowOff>
    </xdr:from>
    <xdr:to>
      <xdr:col>10</xdr:col>
      <xdr:colOff>285750</xdr:colOff>
      <xdr:row>21</xdr:row>
      <xdr:rowOff>112715</xdr:rowOff>
    </xdr:to>
    <xdr:sp macro="" textlink="">
      <xdr:nvSpPr>
        <xdr:cNvPr id="11" name="TextBox 1"/>
        <xdr:cNvSpPr txBox="1"/>
      </xdr:nvSpPr>
      <xdr:spPr>
        <a:xfrm>
          <a:off x="6134101" y="3876675"/>
          <a:ext cx="1638299" cy="24606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Current Average Contribution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0.37361</cdr:x>
      <cdr:y>0.25208</cdr:y>
    </cdr:from>
    <cdr:to>
      <cdr:x>0.77986</cdr:x>
      <cdr:y>0.38055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89283" y="707105"/>
          <a:ext cx="2163068" cy="3603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Average Required Contribution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142874</xdr:rowOff>
    </xdr:to>
    <xdr:pic>
      <xdr:nvPicPr>
        <xdr:cNvPr id="2" name="Picture 1" descr="http://lakeofthewoods.ca/wp-content/uploads/2012/10/logo-low.jpg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52725" cy="48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142874</xdr:rowOff>
    </xdr:to>
    <xdr:pic>
      <xdr:nvPicPr>
        <xdr:cNvPr id="3" name="Picture 2" descr="http://lakeofthewoods.ca/wp-content/uploads/2012/10/logo-low.jpg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52725" cy="48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ck/AppData/Local/Microsoft/Windows/Temporary%20Internet%20Files/Content.IE5/FZR4LEKB/FI125946%20Lake%20of%20The%20Woods%20T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HELP"/>
      <sheetName val="MPMP"/>
      <sheetName val="CHECK"/>
      <sheetName val="02"/>
      <sheetName val="10"/>
      <sheetName val="12"/>
      <sheetName val="20"/>
      <sheetName val="22A"/>
      <sheetName val="22B"/>
      <sheetName val="22C"/>
      <sheetName val="22D"/>
      <sheetName val="24A"/>
      <sheetName val="24B"/>
      <sheetName val="24C"/>
      <sheetName val="24D"/>
      <sheetName val="26A"/>
      <sheetName val="26B"/>
      <sheetName val="28"/>
      <sheetName val="40"/>
      <sheetName val="42"/>
      <sheetName val="51A"/>
      <sheetName val="51B"/>
      <sheetName val="51C"/>
      <sheetName val="53"/>
      <sheetName val="54A"/>
      <sheetName val="54B"/>
      <sheetName val="60"/>
      <sheetName val="61"/>
      <sheetName val="62"/>
      <sheetName val="62A"/>
      <sheetName val="70"/>
      <sheetName val="72A"/>
      <sheetName val="72B"/>
      <sheetName val="74A"/>
      <sheetName val="74B"/>
      <sheetName val="74C"/>
      <sheetName val="74D"/>
      <sheetName val="75A"/>
      <sheetName val="75B"/>
      <sheetName val="75C"/>
      <sheetName val="76"/>
      <sheetName val="77A"/>
      <sheetName val="77B"/>
      <sheetName val="77C"/>
      <sheetName val="77D"/>
      <sheetName val="79"/>
      <sheetName val="80A"/>
      <sheetName val="80B"/>
      <sheetName val="80C"/>
      <sheetName val="81"/>
      <sheetName val="83"/>
      <sheetName val="PMCHECK"/>
      <sheetName val="PM90"/>
      <sheetName val="PM91"/>
      <sheetName val="PM92"/>
      <sheetName val="PM93"/>
      <sheetName val="PM94"/>
      <sheetName val="PM95"/>
      <sheetName val="TAX"/>
      <sheetName val="TEMPLATES"/>
      <sheetName val="DATA"/>
      <sheetName val="DATA2"/>
      <sheetName val="UT"/>
      <sheetName val="TABLES"/>
      <sheetName val="PM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9">
          <cell r="U19">
            <v>506146</v>
          </cell>
        </row>
        <row r="28">
          <cell r="U28">
            <v>574500</v>
          </cell>
        </row>
        <row r="40">
          <cell r="U40">
            <v>15369</v>
          </cell>
        </row>
        <row r="42">
          <cell r="U42">
            <v>1650</v>
          </cell>
        </row>
        <row r="49">
          <cell r="U49">
            <v>7222</v>
          </cell>
        </row>
        <row r="55">
          <cell r="U55">
            <v>23121</v>
          </cell>
        </row>
        <row r="58">
          <cell r="U58">
            <v>20069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8">
          <cell r="U18">
            <v>729</v>
          </cell>
          <cell r="AC18">
            <v>96043</v>
          </cell>
        </row>
        <row r="31">
          <cell r="U31">
            <v>11575</v>
          </cell>
          <cell r="AC31">
            <v>105595</v>
          </cell>
        </row>
        <row r="49">
          <cell r="U49">
            <v>135781</v>
          </cell>
          <cell r="AC49">
            <v>359436</v>
          </cell>
        </row>
        <row r="65">
          <cell r="AC65">
            <v>95454</v>
          </cell>
        </row>
        <row r="74">
          <cell r="AC74">
            <v>165239</v>
          </cell>
        </row>
        <row r="81">
          <cell r="AC81">
            <v>74430</v>
          </cell>
        </row>
        <row r="89">
          <cell r="AC89">
            <v>87867</v>
          </cell>
        </row>
        <row r="101">
          <cell r="U101">
            <v>27709</v>
          </cell>
          <cell r="AC101">
            <v>76052</v>
          </cell>
        </row>
        <row r="110">
          <cell r="AC110">
            <v>7782</v>
          </cell>
        </row>
        <row r="117">
          <cell r="U117">
            <v>175794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132">
          <cell r="U132">
            <v>596116</v>
          </cell>
          <cell r="V132">
            <v>220000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N54"/>
  <sheetViews>
    <sheetView showGridLines="0" workbookViewId="0">
      <selection activeCell="O26" sqref="O26"/>
    </sheetView>
  </sheetViews>
  <sheetFormatPr defaultRowHeight="15" x14ac:dyDescent="0.25"/>
  <cols>
    <col min="1" max="1" width="20" customWidth="1"/>
    <col min="2" max="2" width="11" bestFit="1" customWidth="1"/>
    <col min="3" max="5" width="10.28515625" bestFit="1" customWidth="1"/>
    <col min="6" max="14" width="11.28515625" bestFit="1" customWidth="1"/>
  </cols>
  <sheetData>
    <row r="4" spans="1:11" x14ac:dyDescent="0.25">
      <c r="A4" s="6" t="s">
        <v>76</v>
      </c>
    </row>
    <row r="5" spans="1:11" x14ac:dyDescent="0.25">
      <c r="A5" s="6" t="s">
        <v>78</v>
      </c>
    </row>
    <row r="7" spans="1:11" ht="15.75" x14ac:dyDescent="0.25">
      <c r="A7" s="76" t="s">
        <v>79</v>
      </c>
      <c r="B7" s="76"/>
      <c r="C7" s="76"/>
      <c r="D7" s="76"/>
      <c r="E7" s="76"/>
      <c r="F7" s="76"/>
      <c r="G7" s="76"/>
      <c r="H7" s="76"/>
      <c r="I7" s="76"/>
      <c r="J7" s="76"/>
      <c r="K7" s="76"/>
    </row>
    <row r="8" spans="1:11" x14ac:dyDescent="0.25">
      <c r="A8" s="62" t="s">
        <v>80</v>
      </c>
      <c r="B8" s="63" t="s">
        <v>81</v>
      </c>
      <c r="C8" s="63" t="s">
        <v>82</v>
      </c>
      <c r="D8" s="63" t="s">
        <v>83</v>
      </c>
      <c r="E8" s="63" t="s">
        <v>84</v>
      </c>
      <c r="F8" s="63" t="s">
        <v>85</v>
      </c>
      <c r="G8" s="63" t="s">
        <v>86</v>
      </c>
      <c r="H8" s="63" t="s">
        <v>87</v>
      </c>
      <c r="I8" s="63" t="s">
        <v>88</v>
      </c>
      <c r="J8" s="63" t="s">
        <v>89</v>
      </c>
      <c r="K8" s="63" t="s">
        <v>90</v>
      </c>
    </row>
    <row r="9" spans="1:11" x14ac:dyDescent="0.25">
      <c r="A9" s="23" t="s">
        <v>91</v>
      </c>
      <c r="B9" s="67">
        <v>29175</v>
      </c>
      <c r="C9" s="67">
        <v>8297.52</v>
      </c>
      <c r="D9" s="67">
        <v>350000</v>
      </c>
      <c r="E9" s="67">
        <v>0</v>
      </c>
      <c r="F9" s="67">
        <v>0</v>
      </c>
      <c r="G9" s="67">
        <v>9897.89</v>
      </c>
      <c r="H9" s="67">
        <v>0</v>
      </c>
      <c r="I9" s="67">
        <v>116409.98</v>
      </c>
      <c r="J9" s="67">
        <v>5328.77</v>
      </c>
      <c r="K9" s="67">
        <v>42809.25</v>
      </c>
    </row>
    <row r="10" spans="1:11" x14ac:dyDescent="0.25">
      <c r="A10" s="23" t="s">
        <v>92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13371.26</v>
      </c>
      <c r="J10" s="67">
        <v>367301</v>
      </c>
      <c r="K10" s="67">
        <v>0</v>
      </c>
    </row>
    <row r="11" spans="1:11" x14ac:dyDescent="0.25">
      <c r="A11" s="23" t="s">
        <v>93</v>
      </c>
      <c r="B11" s="68">
        <v>15542.57</v>
      </c>
      <c r="C11" s="68">
        <v>0</v>
      </c>
      <c r="D11" s="68">
        <v>0</v>
      </c>
      <c r="E11" s="68">
        <v>0</v>
      </c>
      <c r="F11" s="68">
        <v>0</v>
      </c>
      <c r="G11" s="68">
        <v>43174.03</v>
      </c>
      <c r="H11" s="68">
        <v>0</v>
      </c>
      <c r="I11" s="68">
        <v>0</v>
      </c>
      <c r="J11" s="68">
        <v>0</v>
      </c>
      <c r="K11" s="68">
        <v>0</v>
      </c>
    </row>
    <row r="12" spans="1:11" x14ac:dyDescent="0.25">
      <c r="A12" s="23" t="s">
        <v>94</v>
      </c>
      <c r="B12" s="68">
        <v>0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36935</v>
      </c>
      <c r="J12" s="68">
        <v>0</v>
      </c>
      <c r="K12" s="68">
        <v>0</v>
      </c>
    </row>
    <row r="13" spans="1:11" x14ac:dyDescent="0.25">
      <c r="A13" s="24" t="s">
        <v>95</v>
      </c>
      <c r="B13" s="67">
        <v>302300</v>
      </c>
      <c r="C13" s="67">
        <v>415140</v>
      </c>
      <c r="D13" s="67">
        <v>333580</v>
      </c>
      <c r="E13" s="67">
        <v>331381</v>
      </c>
      <c r="F13" s="67">
        <v>413475</v>
      </c>
      <c r="G13" s="67">
        <v>462176</v>
      </c>
      <c r="H13" s="67">
        <v>52836</v>
      </c>
      <c r="I13" s="67">
        <v>234511</v>
      </c>
      <c r="J13" s="67">
        <v>208824</v>
      </c>
      <c r="K13" s="67">
        <v>351753</v>
      </c>
    </row>
    <row r="14" spans="1:11" x14ac:dyDescent="0.25">
      <c r="A14" s="64" t="s">
        <v>96</v>
      </c>
      <c r="B14" s="65">
        <f>SUM(B9:B13)</f>
        <v>347017.57</v>
      </c>
      <c r="C14" s="65">
        <f t="shared" ref="C14:K14" si="0">SUM(C9:C13)</f>
        <v>423437.52</v>
      </c>
      <c r="D14" s="65">
        <f t="shared" si="0"/>
        <v>683580</v>
      </c>
      <c r="E14" s="65">
        <f t="shared" si="0"/>
        <v>331381</v>
      </c>
      <c r="F14" s="65">
        <f t="shared" si="0"/>
        <v>413475</v>
      </c>
      <c r="G14" s="65">
        <f t="shared" si="0"/>
        <v>515247.92</v>
      </c>
      <c r="H14" s="65">
        <f t="shared" si="0"/>
        <v>52836</v>
      </c>
      <c r="I14" s="65">
        <f t="shared" si="0"/>
        <v>401227.24</v>
      </c>
      <c r="J14" s="65">
        <f t="shared" si="0"/>
        <v>581453.77</v>
      </c>
      <c r="K14" s="65">
        <f t="shared" si="0"/>
        <v>394562.25</v>
      </c>
    </row>
    <row r="15" spans="1:11" x14ac:dyDescent="0.25">
      <c r="A15" s="66" t="s">
        <v>97</v>
      </c>
      <c r="B15" s="65">
        <f>B14</f>
        <v>347017.57</v>
      </c>
      <c r="C15" s="65">
        <f>(C14*2%)+C14</f>
        <v>431906.27040000004</v>
      </c>
      <c r="D15" s="65">
        <f>(D14*2%)+D14</f>
        <v>697251.6</v>
      </c>
      <c r="E15" s="65">
        <f t="shared" ref="E15:K15" si="1">(E14*2%)+E14</f>
        <v>338008.62</v>
      </c>
      <c r="F15" s="65">
        <f t="shared" si="1"/>
        <v>421744.5</v>
      </c>
      <c r="G15" s="65">
        <f t="shared" si="1"/>
        <v>525552.87839999993</v>
      </c>
      <c r="H15" s="65">
        <f t="shared" si="1"/>
        <v>53892.72</v>
      </c>
      <c r="I15" s="65">
        <f t="shared" si="1"/>
        <v>409251.78479999996</v>
      </c>
      <c r="J15" s="65">
        <f t="shared" si="1"/>
        <v>593082.84539999999</v>
      </c>
      <c r="K15" s="65">
        <f t="shared" si="1"/>
        <v>402453.495</v>
      </c>
    </row>
    <row r="17" spans="1:2" x14ac:dyDescent="0.25">
      <c r="A17" s="15" t="s">
        <v>133</v>
      </c>
      <c r="B17" s="70">
        <f>AVERAGE(B14:K14)</f>
        <v>414421.82699999999</v>
      </c>
    </row>
    <row r="18" spans="1:2" x14ac:dyDescent="0.25">
      <c r="A18" s="15" t="s">
        <v>134</v>
      </c>
      <c r="B18" s="70">
        <f>AVERAGE('Statement of Operations @ 2.3%'!D43:N43)</f>
        <v>243107.61433007792</v>
      </c>
    </row>
    <row r="38" spans="1:14" x14ac:dyDescent="0.25">
      <c r="A38" s="26" t="s">
        <v>0</v>
      </c>
      <c r="B38" s="27">
        <v>2010</v>
      </c>
      <c r="C38" s="27">
        <v>2011</v>
      </c>
      <c r="D38" s="27">
        <v>2012</v>
      </c>
      <c r="E38" s="27" t="s">
        <v>2</v>
      </c>
      <c r="F38" s="27" t="s">
        <v>3</v>
      </c>
      <c r="G38" s="27" t="s">
        <v>4</v>
      </c>
      <c r="H38" s="27" t="s">
        <v>5</v>
      </c>
      <c r="I38" s="27" t="s">
        <v>6</v>
      </c>
      <c r="J38" s="27" t="s">
        <v>7</v>
      </c>
      <c r="K38" s="27" t="s">
        <v>8</v>
      </c>
      <c r="L38" s="27" t="s">
        <v>9</v>
      </c>
      <c r="M38" s="27" t="s">
        <v>10</v>
      </c>
      <c r="N38" s="27" t="s">
        <v>20</v>
      </c>
    </row>
    <row r="39" spans="1:14" x14ac:dyDescent="0.25">
      <c r="A39" s="77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</row>
    <row r="40" spans="1:14" x14ac:dyDescent="0.25">
      <c r="A40" s="3" t="s">
        <v>135</v>
      </c>
      <c r="B40" s="8"/>
      <c r="C40" s="8"/>
      <c r="D40" s="67">
        <f>'[1]10'!$U$19</f>
        <v>506146</v>
      </c>
      <c r="E40" s="67">
        <v>480728</v>
      </c>
      <c r="F40" s="67">
        <f>(E40*2.8%)+E40</f>
        <v>494188.38400000002</v>
      </c>
      <c r="G40" s="67">
        <f t="shared" ref="G40:N40" si="2">(F40*2.8%)+F40</f>
        <v>508025.65875200002</v>
      </c>
      <c r="H40" s="67">
        <f t="shared" si="2"/>
        <v>522250.37719705602</v>
      </c>
      <c r="I40" s="67">
        <f t="shared" si="2"/>
        <v>536873.38775857363</v>
      </c>
      <c r="J40" s="67">
        <f t="shared" si="2"/>
        <v>551905.84261581372</v>
      </c>
      <c r="K40" s="67">
        <f t="shared" si="2"/>
        <v>567359.20620905655</v>
      </c>
      <c r="L40" s="67">
        <f t="shared" si="2"/>
        <v>583245.26398291008</v>
      </c>
      <c r="M40" s="67">
        <f t="shared" si="2"/>
        <v>599576.13137443154</v>
      </c>
      <c r="N40" s="67">
        <f t="shared" si="2"/>
        <v>616364.26305291557</v>
      </c>
    </row>
    <row r="41" spans="1:14" x14ac:dyDescent="0.25">
      <c r="A41" s="3" t="s">
        <v>136</v>
      </c>
      <c r="B41" s="8"/>
      <c r="C41" s="8"/>
      <c r="D41" s="67"/>
      <c r="E41" s="67"/>
      <c r="F41" s="67">
        <v>491784.74400000001</v>
      </c>
      <c r="G41" s="67">
        <v>503095.79311199998</v>
      </c>
      <c r="H41" s="67">
        <v>514666.99635357596</v>
      </c>
      <c r="I41" s="67">
        <v>526504.33726970816</v>
      </c>
      <c r="J41" s="67">
        <v>538613.93702691142</v>
      </c>
      <c r="K41" s="67">
        <v>551002.0575785304</v>
      </c>
      <c r="L41" s="67">
        <v>563675.10490283661</v>
      </c>
      <c r="M41" s="67">
        <v>576639.6323156018</v>
      </c>
      <c r="N41" s="67">
        <v>589902.34385886067</v>
      </c>
    </row>
    <row r="43" spans="1:14" x14ac:dyDescent="0.25">
      <c r="A43" s="80" t="s">
        <v>137</v>
      </c>
      <c r="B43" s="80"/>
    </row>
    <row r="44" spans="1:14" x14ac:dyDescent="0.25">
      <c r="A44" s="75">
        <v>2014</v>
      </c>
      <c r="B44" s="67">
        <f>F40-F41</f>
        <v>2403.640000000014</v>
      </c>
    </row>
    <row r="45" spans="1:14" x14ac:dyDescent="0.25">
      <c r="A45" s="75">
        <v>2015</v>
      </c>
      <c r="B45" s="67">
        <f>G40-G41</f>
        <v>4929.8656400000327</v>
      </c>
    </row>
    <row r="46" spans="1:14" x14ac:dyDescent="0.25">
      <c r="A46" s="75">
        <v>2016</v>
      </c>
      <c r="B46" s="67">
        <f>H40-H41</f>
        <v>7583.3808434800594</v>
      </c>
    </row>
    <row r="47" spans="1:14" x14ac:dyDescent="0.25">
      <c r="A47" s="75">
        <v>2017</v>
      </c>
      <c r="B47" s="67">
        <f>I40-I41</f>
        <v>10369.050488865469</v>
      </c>
    </row>
    <row r="48" spans="1:14" x14ac:dyDescent="0.25">
      <c r="A48" s="75">
        <v>2018</v>
      </c>
      <c r="B48" s="67">
        <f>J40-J41</f>
        <v>13291.9055889023</v>
      </c>
    </row>
    <row r="49" spans="1:2" x14ac:dyDescent="0.25">
      <c r="A49" s="75">
        <v>2019</v>
      </c>
      <c r="B49" s="67">
        <f>K40-K41</f>
        <v>16357.14863052615</v>
      </c>
    </row>
    <row r="50" spans="1:2" x14ac:dyDescent="0.25">
      <c r="A50" s="75">
        <v>2020</v>
      </c>
      <c r="B50" s="67">
        <f>L40-L41</f>
        <v>19570.15908007347</v>
      </c>
    </row>
    <row r="51" spans="1:2" x14ac:dyDescent="0.25">
      <c r="A51" s="75">
        <v>2021</v>
      </c>
      <c r="B51" s="67">
        <f>M40-M41</f>
        <v>22936.499058829737</v>
      </c>
    </row>
    <row r="52" spans="1:2" x14ac:dyDescent="0.25">
      <c r="A52" s="75">
        <v>2022</v>
      </c>
      <c r="B52" s="67">
        <f>N40-N41</f>
        <v>26461.919194054906</v>
      </c>
    </row>
    <row r="53" spans="1:2" x14ac:dyDescent="0.25">
      <c r="A53" s="66" t="s">
        <v>96</v>
      </c>
      <c r="B53" s="74">
        <f>SUM(B44:B52)</f>
        <v>123903.56852473214</v>
      </c>
    </row>
    <row r="54" spans="1:2" x14ac:dyDescent="0.25">
      <c r="A54" s="66" t="s">
        <v>138</v>
      </c>
      <c r="B54" s="74">
        <f>AVERAGE(B44:B52)</f>
        <v>13767.063169414681</v>
      </c>
    </row>
  </sheetData>
  <mergeCells count="3">
    <mergeCell ref="A7:K7"/>
    <mergeCell ref="A39:N39"/>
    <mergeCell ref="A43:B43"/>
  </mergeCells>
  <pageMargins left="0.19685039370078741" right="0.19685039370078741" top="0.19685039370078741" bottom="0.19685039370078741" header="0.31496062992125984" footer="0.31496062992125984"/>
  <pageSetup scale="70" fitToHeight="5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N76"/>
  <sheetViews>
    <sheetView showGridLines="0" topLeftCell="A7" zoomScaleNormal="100" workbookViewId="0">
      <selection activeCell="G82" sqref="G82"/>
    </sheetView>
  </sheetViews>
  <sheetFormatPr defaultRowHeight="12.75" x14ac:dyDescent="0.25"/>
  <cols>
    <col min="1" max="1" width="38.140625" style="4" customWidth="1"/>
    <col min="2" max="3" width="6.140625" style="7" bestFit="1" customWidth="1"/>
    <col min="4" max="4" width="11.28515625" style="7" bestFit="1" customWidth="1"/>
    <col min="5" max="14" width="11.85546875" style="7" bestFit="1" customWidth="1"/>
    <col min="15" max="16384" width="9.140625" style="4"/>
  </cols>
  <sheetData>
    <row r="1" spans="1:14" ht="14.25" x14ac:dyDescent="0.2">
      <c r="A1" s="71"/>
    </row>
    <row r="4" spans="1:14" ht="15.75" x14ac:dyDescent="0.25">
      <c r="A4" s="25" t="s">
        <v>76</v>
      </c>
    </row>
    <row r="5" spans="1:14" ht="15.75" x14ac:dyDescent="0.25">
      <c r="A5" s="25" t="s">
        <v>77</v>
      </c>
    </row>
    <row r="6" spans="1:14" ht="13.5" thickBot="1" x14ac:dyDescent="0.3"/>
    <row r="7" spans="1:14" ht="16.5" thickBot="1" x14ac:dyDescent="0.3">
      <c r="A7" s="81" t="s">
        <v>19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3"/>
    </row>
    <row r="8" spans="1:14" x14ac:dyDescent="0.25">
      <c r="A8" s="6"/>
      <c r="D8" s="17"/>
    </row>
    <row r="9" spans="1:14" ht="14.25" x14ac:dyDescent="0.25">
      <c r="A9" s="26" t="s">
        <v>0</v>
      </c>
      <c r="B9" s="27">
        <v>2010</v>
      </c>
      <c r="C9" s="27">
        <v>2011</v>
      </c>
      <c r="D9" s="27">
        <v>2012</v>
      </c>
      <c r="E9" s="27" t="s">
        <v>2</v>
      </c>
      <c r="F9" s="27" t="s">
        <v>3</v>
      </c>
      <c r="G9" s="27" t="s">
        <v>4</v>
      </c>
      <c r="H9" s="27" t="s">
        <v>5</v>
      </c>
      <c r="I9" s="27" t="s">
        <v>6</v>
      </c>
      <c r="J9" s="27" t="s">
        <v>7</v>
      </c>
      <c r="K9" s="27" t="s">
        <v>8</v>
      </c>
      <c r="L9" s="27" t="s">
        <v>9</v>
      </c>
      <c r="M9" s="27" t="s">
        <v>10</v>
      </c>
      <c r="N9" s="27" t="s">
        <v>20</v>
      </c>
    </row>
    <row r="10" spans="1:14" x14ac:dyDescent="0.25">
      <c r="A10" s="77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9"/>
    </row>
    <row r="11" spans="1:14" x14ac:dyDescent="0.25">
      <c r="A11" s="3" t="s">
        <v>98</v>
      </c>
      <c r="B11" s="8"/>
      <c r="C11" s="8"/>
      <c r="D11" s="9">
        <f>'[1]10'!$U$19</f>
        <v>506146</v>
      </c>
      <c r="E11" s="10">
        <v>480728</v>
      </c>
      <c r="F11" s="10">
        <f t="shared" ref="F11:N11" si="0">(E11*2.3%)+E11</f>
        <v>491784.74400000001</v>
      </c>
      <c r="G11" s="10">
        <f t="shared" si="0"/>
        <v>503095.79311199998</v>
      </c>
      <c r="H11" s="10">
        <f t="shared" si="0"/>
        <v>514666.99635357596</v>
      </c>
      <c r="I11" s="10">
        <f t="shared" si="0"/>
        <v>526504.33726970816</v>
      </c>
      <c r="J11" s="10">
        <f t="shared" si="0"/>
        <v>538613.93702691142</v>
      </c>
      <c r="K11" s="10">
        <f t="shared" si="0"/>
        <v>551002.0575785304</v>
      </c>
      <c r="L11" s="10">
        <f t="shared" si="0"/>
        <v>563675.10490283661</v>
      </c>
      <c r="M11" s="10">
        <f t="shared" si="0"/>
        <v>576639.6323156018</v>
      </c>
      <c r="N11" s="10">
        <f t="shared" si="0"/>
        <v>589902.34385886067</v>
      </c>
    </row>
    <row r="12" spans="1:14" x14ac:dyDescent="0.25">
      <c r="A12" s="3" t="s">
        <v>99</v>
      </c>
      <c r="B12" s="8"/>
      <c r="C12" s="8"/>
      <c r="D12" s="9">
        <f>'[1]10'!$U$28</f>
        <v>574500</v>
      </c>
      <c r="E12" s="10">
        <f>D12</f>
        <v>574500</v>
      </c>
      <c r="F12" s="10">
        <f t="shared" ref="F12:N12" si="1">E12</f>
        <v>574500</v>
      </c>
      <c r="G12" s="10">
        <f t="shared" si="1"/>
        <v>574500</v>
      </c>
      <c r="H12" s="10">
        <f t="shared" si="1"/>
        <v>574500</v>
      </c>
      <c r="I12" s="10">
        <f t="shared" si="1"/>
        <v>574500</v>
      </c>
      <c r="J12" s="10">
        <f t="shared" si="1"/>
        <v>574500</v>
      </c>
      <c r="K12" s="10">
        <f t="shared" si="1"/>
        <v>574500</v>
      </c>
      <c r="L12" s="10">
        <f t="shared" si="1"/>
        <v>574500</v>
      </c>
      <c r="M12" s="10">
        <f t="shared" si="1"/>
        <v>574500</v>
      </c>
      <c r="N12" s="10">
        <f t="shared" si="1"/>
        <v>574500</v>
      </c>
    </row>
    <row r="13" spans="1:14" x14ac:dyDescent="0.25">
      <c r="A13" s="3" t="s">
        <v>100</v>
      </c>
      <c r="B13" s="8"/>
      <c r="C13" s="8"/>
      <c r="D13" s="9">
        <f>'[1]10'!$U$40</f>
        <v>15369</v>
      </c>
      <c r="E13" s="10">
        <f>(D13*1%)+D13</f>
        <v>15522.69</v>
      </c>
      <c r="F13" s="10">
        <f t="shared" ref="F13:N13" si="2">(E13*1%)+E13</f>
        <v>15677.9169</v>
      </c>
      <c r="G13" s="10">
        <f t="shared" si="2"/>
        <v>15834.696069</v>
      </c>
      <c r="H13" s="10">
        <f t="shared" si="2"/>
        <v>15993.043029689999</v>
      </c>
      <c r="I13" s="10">
        <f t="shared" si="2"/>
        <v>16152.973459986899</v>
      </c>
      <c r="J13" s="10">
        <f t="shared" si="2"/>
        <v>16314.503194586769</v>
      </c>
      <c r="K13" s="10">
        <f t="shared" si="2"/>
        <v>16477.648226532638</v>
      </c>
      <c r="L13" s="10">
        <f t="shared" si="2"/>
        <v>16642.424708797964</v>
      </c>
      <c r="M13" s="10">
        <f t="shared" si="2"/>
        <v>16808.848955885944</v>
      </c>
      <c r="N13" s="10">
        <f t="shared" si="2"/>
        <v>16976.937445444804</v>
      </c>
    </row>
    <row r="14" spans="1:14" x14ac:dyDescent="0.25">
      <c r="A14" s="3" t="s">
        <v>101</v>
      </c>
      <c r="B14" s="11"/>
      <c r="C14" s="8"/>
      <c r="D14" s="9">
        <f>'[1]10'!$U$42</f>
        <v>1650</v>
      </c>
      <c r="E14" s="10">
        <v>5725</v>
      </c>
      <c r="F14" s="10">
        <f t="shared" ref="F14:N14" si="3">(E14*2%)+E14</f>
        <v>5839.5</v>
      </c>
      <c r="G14" s="10">
        <f t="shared" si="3"/>
        <v>5956.29</v>
      </c>
      <c r="H14" s="10">
        <f t="shared" si="3"/>
        <v>6075.4157999999998</v>
      </c>
      <c r="I14" s="10">
        <f t="shared" si="3"/>
        <v>6196.9241160000001</v>
      </c>
      <c r="J14" s="10">
        <f t="shared" si="3"/>
        <v>6320.86259832</v>
      </c>
      <c r="K14" s="10">
        <f t="shared" si="3"/>
        <v>6447.2798502863998</v>
      </c>
      <c r="L14" s="10">
        <f t="shared" si="3"/>
        <v>6576.2254472921277</v>
      </c>
      <c r="M14" s="10">
        <f t="shared" si="3"/>
        <v>6707.7499562379699</v>
      </c>
      <c r="N14" s="10">
        <f t="shared" si="3"/>
        <v>6841.9049553627292</v>
      </c>
    </row>
    <row r="15" spans="1:14" x14ac:dyDescent="0.25">
      <c r="A15" s="3" t="s">
        <v>102</v>
      </c>
      <c r="B15" s="8"/>
      <c r="C15" s="8"/>
      <c r="D15" s="9">
        <f>'[1]10'!$U$49</f>
        <v>7222</v>
      </c>
      <c r="E15" s="10">
        <f>(D15*1%)+D15</f>
        <v>7294.22</v>
      </c>
      <c r="F15" s="10">
        <f t="shared" ref="F15:N17" si="4">(E15*1%)+E15</f>
        <v>7367.1622000000007</v>
      </c>
      <c r="G15" s="10">
        <f t="shared" si="4"/>
        <v>7440.8338220000005</v>
      </c>
      <c r="H15" s="10">
        <f t="shared" si="4"/>
        <v>7515.2421602200002</v>
      </c>
      <c r="I15" s="10">
        <f t="shared" si="4"/>
        <v>7590.3945818222001</v>
      </c>
      <c r="J15" s="10">
        <f t="shared" si="4"/>
        <v>7666.2985276404224</v>
      </c>
      <c r="K15" s="10">
        <f t="shared" si="4"/>
        <v>7742.9615129168269</v>
      </c>
      <c r="L15" s="10">
        <f t="shared" si="4"/>
        <v>7820.3911280459952</v>
      </c>
      <c r="M15" s="10">
        <f t="shared" si="4"/>
        <v>7898.5950393264548</v>
      </c>
      <c r="N15" s="10">
        <f t="shared" si="4"/>
        <v>7977.5809897197196</v>
      </c>
    </row>
    <row r="16" spans="1:14" x14ac:dyDescent="0.25">
      <c r="A16" s="3" t="s">
        <v>103</v>
      </c>
      <c r="B16" s="8"/>
      <c r="C16" s="8"/>
      <c r="D16" s="9">
        <f>'[1]10'!$U$55</f>
        <v>23121</v>
      </c>
      <c r="E16" s="10">
        <v>23250</v>
      </c>
      <c r="F16" s="10">
        <f t="shared" si="4"/>
        <v>23482.5</v>
      </c>
      <c r="G16" s="10">
        <f t="shared" si="4"/>
        <v>23717.325000000001</v>
      </c>
      <c r="H16" s="10">
        <f t="shared" si="4"/>
        <v>23954.498250000001</v>
      </c>
      <c r="I16" s="10">
        <f t="shared" si="4"/>
        <v>24194.0432325</v>
      </c>
      <c r="J16" s="10">
        <f t="shared" si="4"/>
        <v>24435.983664824998</v>
      </c>
      <c r="K16" s="10">
        <f t="shared" si="4"/>
        <v>24680.343501473249</v>
      </c>
      <c r="L16" s="10">
        <f t="shared" si="4"/>
        <v>24927.146936487981</v>
      </c>
      <c r="M16" s="10">
        <f t="shared" si="4"/>
        <v>25176.418405852863</v>
      </c>
      <c r="N16" s="10">
        <f t="shared" si="4"/>
        <v>25428.18258991139</v>
      </c>
    </row>
    <row r="17" spans="1:14" x14ac:dyDescent="0.25">
      <c r="A17" s="3" t="s">
        <v>52</v>
      </c>
      <c r="B17" s="8"/>
      <c r="C17" s="8"/>
      <c r="D17" s="9">
        <f>'[1]10'!$U$58</f>
        <v>20069</v>
      </c>
      <c r="E17" s="10">
        <v>17226</v>
      </c>
      <c r="F17" s="10">
        <f t="shared" si="4"/>
        <v>17398.259999999998</v>
      </c>
      <c r="G17" s="10">
        <f t="shared" si="4"/>
        <v>17572.242599999998</v>
      </c>
      <c r="H17" s="10">
        <f t="shared" si="4"/>
        <v>17747.965025999998</v>
      </c>
      <c r="I17" s="10">
        <f t="shared" si="4"/>
        <v>17925.444676259998</v>
      </c>
      <c r="J17" s="10">
        <f t="shared" si="4"/>
        <v>18104.699123022598</v>
      </c>
      <c r="K17" s="10">
        <f t="shared" si="4"/>
        <v>18285.746114252823</v>
      </c>
      <c r="L17" s="10">
        <f t="shared" si="4"/>
        <v>18468.603575395351</v>
      </c>
      <c r="M17" s="10">
        <f t="shared" si="4"/>
        <v>18653.289611149303</v>
      </c>
      <c r="N17" s="10">
        <f t="shared" si="4"/>
        <v>18839.822507260797</v>
      </c>
    </row>
    <row r="18" spans="1:14" x14ac:dyDescent="0.25">
      <c r="A18" s="77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9"/>
    </row>
    <row r="19" spans="1:14" x14ac:dyDescent="0.25">
      <c r="A19" s="3" t="s">
        <v>1</v>
      </c>
      <c r="B19" s="18"/>
      <c r="C19" s="18"/>
      <c r="D19" s="18">
        <f t="shared" ref="D19:N19" si="5">D14+D13+D12+D11+D15+D16+D17</f>
        <v>1148077</v>
      </c>
      <c r="E19" s="18">
        <f t="shared" si="5"/>
        <v>1124245.9099999999</v>
      </c>
      <c r="F19" s="18">
        <f t="shared" si="5"/>
        <v>1136050.0830999999</v>
      </c>
      <c r="G19" s="18">
        <f t="shared" si="5"/>
        <v>1148117.1806029999</v>
      </c>
      <c r="H19" s="18">
        <f t="shared" si="5"/>
        <v>1160453.1606194859</v>
      </c>
      <c r="I19" s="18">
        <f t="shared" si="5"/>
        <v>1173064.1173362774</v>
      </c>
      <c r="J19" s="18">
        <f t="shared" si="5"/>
        <v>1185956.2841353065</v>
      </c>
      <c r="K19" s="18">
        <f t="shared" si="5"/>
        <v>1199136.0367839923</v>
      </c>
      <c r="L19" s="18">
        <f t="shared" si="5"/>
        <v>1212609.8966988558</v>
      </c>
      <c r="M19" s="18">
        <f t="shared" si="5"/>
        <v>1226384.5342840545</v>
      </c>
      <c r="N19" s="18">
        <f t="shared" si="5"/>
        <v>1240466.7723465604</v>
      </c>
    </row>
    <row r="20" spans="1:14" x14ac:dyDescent="0.25">
      <c r="A20" s="77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9"/>
    </row>
    <row r="21" spans="1:14" ht="14.25" x14ac:dyDescent="0.25">
      <c r="A21" s="26" t="s">
        <v>11</v>
      </c>
      <c r="B21" s="27">
        <v>2010</v>
      </c>
      <c r="C21" s="27">
        <v>2011</v>
      </c>
      <c r="D21" s="27">
        <v>2012</v>
      </c>
      <c r="E21" s="27" t="s">
        <v>2</v>
      </c>
      <c r="F21" s="27" t="s">
        <v>3</v>
      </c>
      <c r="G21" s="27" t="s">
        <v>4</v>
      </c>
      <c r="H21" s="27" t="s">
        <v>5</v>
      </c>
      <c r="I21" s="27" t="s">
        <v>6</v>
      </c>
      <c r="J21" s="27" t="s">
        <v>7</v>
      </c>
      <c r="K21" s="27" t="s">
        <v>8</v>
      </c>
      <c r="L21" s="27" t="s">
        <v>9</v>
      </c>
      <c r="M21" s="27" t="s">
        <v>10</v>
      </c>
      <c r="N21" s="27" t="s">
        <v>20</v>
      </c>
    </row>
    <row r="22" spans="1:14" x14ac:dyDescent="0.2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9"/>
    </row>
    <row r="23" spans="1:14" x14ac:dyDescent="0.25">
      <c r="A23" s="3" t="s">
        <v>12</v>
      </c>
      <c r="B23" s="9"/>
      <c r="C23" s="9"/>
      <c r="D23" s="9">
        <f>'[1]40'!$AC$18-'[1]40'!$U$18</f>
        <v>95314</v>
      </c>
      <c r="E23" s="10">
        <f>102048-729</f>
        <v>101319</v>
      </c>
      <c r="F23" s="10">
        <f t="shared" ref="E23:N31" si="6">(E23*2%)+E23</f>
        <v>103345.38</v>
      </c>
      <c r="G23" s="10">
        <f t="shared" si="6"/>
        <v>105412.28760000001</v>
      </c>
      <c r="H23" s="10">
        <f t="shared" si="6"/>
        <v>107520.53335200001</v>
      </c>
      <c r="I23" s="10">
        <f t="shared" si="6"/>
        <v>109670.94401904002</v>
      </c>
      <c r="J23" s="10">
        <f t="shared" si="6"/>
        <v>111864.36289942083</v>
      </c>
      <c r="K23" s="10">
        <f t="shared" si="6"/>
        <v>114101.65015740924</v>
      </c>
      <c r="L23" s="10">
        <f t="shared" si="6"/>
        <v>116383.68316055743</v>
      </c>
      <c r="M23" s="10">
        <f t="shared" si="6"/>
        <v>118711.35682376857</v>
      </c>
      <c r="N23" s="10">
        <f t="shared" si="6"/>
        <v>121085.58396024394</v>
      </c>
    </row>
    <row r="24" spans="1:14" x14ac:dyDescent="0.25">
      <c r="A24" s="3" t="s">
        <v>104</v>
      </c>
      <c r="B24" s="9"/>
      <c r="C24" s="9"/>
      <c r="D24" s="9">
        <f>'[1]40'!$AC$31-'[1]40'!$U$31</f>
        <v>94020</v>
      </c>
      <c r="E24" s="10">
        <f>107956-11685</f>
        <v>96271</v>
      </c>
      <c r="F24" s="10">
        <f t="shared" si="6"/>
        <v>98196.42</v>
      </c>
      <c r="G24" s="10">
        <f t="shared" si="6"/>
        <v>100160.3484</v>
      </c>
      <c r="H24" s="10">
        <f t="shared" si="6"/>
        <v>102163.555368</v>
      </c>
      <c r="I24" s="10">
        <f t="shared" si="6"/>
        <v>104206.82647535999</v>
      </c>
      <c r="J24" s="10">
        <f t="shared" si="6"/>
        <v>106290.9630048672</v>
      </c>
      <c r="K24" s="10">
        <f t="shared" si="6"/>
        <v>108416.78226496454</v>
      </c>
      <c r="L24" s="10">
        <f t="shared" si="6"/>
        <v>110585.11791026383</v>
      </c>
      <c r="M24" s="10">
        <f t="shared" si="6"/>
        <v>112796.82026846911</v>
      </c>
      <c r="N24" s="10">
        <f t="shared" si="6"/>
        <v>115052.75667383849</v>
      </c>
    </row>
    <row r="25" spans="1:14" x14ac:dyDescent="0.25">
      <c r="A25" s="3" t="s">
        <v>13</v>
      </c>
      <c r="B25" s="9"/>
      <c r="C25" s="9"/>
      <c r="D25" s="9">
        <f>'[1]40'!$AC$49-'[1]40'!$U$49</f>
        <v>223655</v>
      </c>
      <c r="E25" s="10">
        <f>348353-(38651+67931+11148+14524)</f>
        <v>216099</v>
      </c>
      <c r="F25" s="10">
        <f t="shared" si="6"/>
        <v>220420.98</v>
      </c>
      <c r="G25" s="10">
        <f t="shared" si="6"/>
        <v>224829.3996</v>
      </c>
      <c r="H25" s="10">
        <f t="shared" si="6"/>
        <v>229325.98759199999</v>
      </c>
      <c r="I25" s="10">
        <f t="shared" si="6"/>
        <v>233912.50734384</v>
      </c>
      <c r="J25" s="10">
        <f t="shared" si="6"/>
        <v>238590.75749071679</v>
      </c>
      <c r="K25" s="10">
        <f t="shared" si="6"/>
        <v>243362.57264053111</v>
      </c>
      <c r="L25" s="10">
        <f t="shared" si="6"/>
        <v>248229.82409334174</v>
      </c>
      <c r="M25" s="10">
        <f t="shared" si="6"/>
        <v>253194.42057520858</v>
      </c>
      <c r="N25" s="10">
        <f t="shared" si="6"/>
        <v>258258.30898671274</v>
      </c>
    </row>
    <row r="26" spans="1:14" x14ac:dyDescent="0.25">
      <c r="A26" s="3" t="s">
        <v>14</v>
      </c>
      <c r="B26" s="9"/>
      <c r="C26" s="9"/>
      <c r="D26" s="9">
        <f>'[1]40'!$AC$65</f>
        <v>95454</v>
      </c>
      <c r="E26" s="10">
        <v>93907</v>
      </c>
      <c r="F26" s="10">
        <f t="shared" si="6"/>
        <v>95785.14</v>
      </c>
      <c r="G26" s="10">
        <f t="shared" si="6"/>
        <v>97700.842799999999</v>
      </c>
      <c r="H26" s="10">
        <f t="shared" si="6"/>
        <v>99654.859656000001</v>
      </c>
      <c r="I26" s="10">
        <f t="shared" si="6"/>
        <v>101647.95684912</v>
      </c>
      <c r="J26" s="10">
        <f t="shared" si="6"/>
        <v>103680.91598610241</v>
      </c>
      <c r="K26" s="10">
        <f t="shared" si="6"/>
        <v>105754.53430582446</v>
      </c>
      <c r="L26" s="10">
        <f t="shared" si="6"/>
        <v>107869.62499194095</v>
      </c>
      <c r="M26" s="10">
        <f t="shared" si="6"/>
        <v>110027.01749177977</v>
      </c>
      <c r="N26" s="10">
        <f t="shared" si="6"/>
        <v>112227.55784161537</v>
      </c>
    </row>
    <row r="27" spans="1:14" x14ac:dyDescent="0.25">
      <c r="A27" s="3" t="s">
        <v>15</v>
      </c>
      <c r="B27" s="9"/>
      <c r="C27" s="9"/>
      <c r="D27" s="9">
        <f>'[1]40'!$AC$74</f>
        <v>165239</v>
      </c>
      <c r="E27" s="10">
        <v>170023</v>
      </c>
      <c r="F27" s="10">
        <f t="shared" si="6"/>
        <v>173423.46</v>
      </c>
      <c r="G27" s="10">
        <f t="shared" si="6"/>
        <v>176891.92919999998</v>
      </c>
      <c r="H27" s="10">
        <f t="shared" si="6"/>
        <v>180429.767784</v>
      </c>
      <c r="I27" s="10">
        <f t="shared" si="6"/>
        <v>184038.36313968</v>
      </c>
      <c r="J27" s="10">
        <f t="shared" si="6"/>
        <v>187719.13040247362</v>
      </c>
      <c r="K27" s="10">
        <f t="shared" si="6"/>
        <v>191473.51301052308</v>
      </c>
      <c r="L27" s="10">
        <f t="shared" si="6"/>
        <v>195302.98327073353</v>
      </c>
      <c r="M27" s="10">
        <f t="shared" si="6"/>
        <v>199209.04293614821</v>
      </c>
      <c r="N27" s="10">
        <f t="shared" si="6"/>
        <v>203193.22379487118</v>
      </c>
    </row>
    <row r="28" spans="1:14" x14ac:dyDescent="0.25">
      <c r="A28" s="3" t="s">
        <v>16</v>
      </c>
      <c r="B28" s="9"/>
      <c r="C28" s="9"/>
      <c r="D28" s="9">
        <f>'[1]40'!$AC$81</f>
        <v>74430</v>
      </c>
      <c r="E28" s="10">
        <v>51077</v>
      </c>
      <c r="F28" s="10">
        <f t="shared" si="6"/>
        <v>52098.54</v>
      </c>
      <c r="G28" s="10">
        <f t="shared" si="6"/>
        <v>53140.510800000004</v>
      </c>
      <c r="H28" s="10">
        <f t="shared" si="6"/>
        <v>54203.321016000002</v>
      </c>
      <c r="I28" s="10">
        <f t="shared" si="6"/>
        <v>55287.387436320001</v>
      </c>
      <c r="J28" s="10">
        <f t="shared" si="6"/>
        <v>56393.135185046398</v>
      </c>
      <c r="K28" s="10">
        <f t="shared" si="6"/>
        <v>57520.997888747326</v>
      </c>
      <c r="L28" s="10">
        <f t="shared" si="6"/>
        <v>58671.417846522272</v>
      </c>
      <c r="M28" s="10">
        <f t="shared" si="6"/>
        <v>59844.846203452718</v>
      </c>
      <c r="N28" s="10">
        <f t="shared" si="6"/>
        <v>61041.743127521775</v>
      </c>
    </row>
    <row r="29" spans="1:14" x14ac:dyDescent="0.25">
      <c r="A29" s="3" t="s">
        <v>105</v>
      </c>
      <c r="B29" s="9"/>
      <c r="C29" s="9"/>
      <c r="D29" s="9">
        <f>'[1]40'!$AC$89</f>
        <v>87867</v>
      </c>
      <c r="E29" s="10">
        <v>87693</v>
      </c>
      <c r="F29" s="10">
        <f t="shared" si="6"/>
        <v>89446.86</v>
      </c>
      <c r="G29" s="10">
        <f t="shared" si="6"/>
        <v>91235.797200000001</v>
      </c>
      <c r="H29" s="10">
        <f t="shared" si="6"/>
        <v>93060.513143999997</v>
      </c>
      <c r="I29" s="10">
        <f t="shared" si="6"/>
        <v>94921.723406880003</v>
      </c>
      <c r="J29" s="10">
        <f t="shared" si="6"/>
        <v>96820.157875017598</v>
      </c>
      <c r="K29" s="10">
        <f t="shared" si="6"/>
        <v>98756.561032517944</v>
      </c>
      <c r="L29" s="10">
        <f t="shared" si="6"/>
        <v>100731.69225316831</v>
      </c>
      <c r="M29" s="10">
        <f t="shared" si="6"/>
        <v>102746.32609823167</v>
      </c>
      <c r="N29" s="10">
        <f t="shared" si="6"/>
        <v>104801.2526201963</v>
      </c>
    </row>
    <row r="30" spans="1:14" x14ac:dyDescent="0.25">
      <c r="A30" s="3" t="s">
        <v>17</v>
      </c>
      <c r="B30" s="9"/>
      <c r="C30" s="9"/>
      <c r="D30" s="9">
        <f>'[1]40'!$AC$101-'[1]40'!$U$101</f>
        <v>48343</v>
      </c>
      <c r="E30" s="10">
        <f>79704-27545</f>
        <v>52159</v>
      </c>
      <c r="F30" s="10">
        <f t="shared" si="6"/>
        <v>53202.18</v>
      </c>
      <c r="G30" s="10">
        <f t="shared" si="6"/>
        <v>54266.223599999998</v>
      </c>
      <c r="H30" s="10">
        <f t="shared" si="6"/>
        <v>55351.548071999998</v>
      </c>
      <c r="I30" s="10">
        <f t="shared" si="6"/>
        <v>56458.579033440001</v>
      </c>
      <c r="J30" s="10">
        <f t="shared" si="6"/>
        <v>57587.750614108802</v>
      </c>
      <c r="K30" s="10">
        <f t="shared" si="6"/>
        <v>58739.505626390979</v>
      </c>
      <c r="L30" s="10">
        <f t="shared" si="6"/>
        <v>59914.295738918801</v>
      </c>
      <c r="M30" s="10">
        <f t="shared" si="6"/>
        <v>61112.581653697176</v>
      </c>
      <c r="N30" s="10">
        <f t="shared" si="6"/>
        <v>62334.833286771121</v>
      </c>
    </row>
    <row r="31" spans="1:14" x14ac:dyDescent="0.25">
      <c r="A31" s="3" t="s">
        <v>18</v>
      </c>
      <c r="B31" s="9"/>
      <c r="C31" s="9"/>
      <c r="D31" s="9">
        <f>'[1]40'!$AC$110</f>
        <v>7782</v>
      </c>
      <c r="E31" s="10">
        <f t="shared" si="6"/>
        <v>7937.64</v>
      </c>
      <c r="F31" s="10">
        <f t="shared" si="6"/>
        <v>8096.3928000000005</v>
      </c>
      <c r="G31" s="10">
        <f t="shared" si="6"/>
        <v>8258.3206559999999</v>
      </c>
      <c r="H31" s="10">
        <f t="shared" si="6"/>
        <v>8423.4870691199994</v>
      </c>
      <c r="I31" s="10">
        <f t="shared" si="6"/>
        <v>8591.9568105023991</v>
      </c>
      <c r="J31" s="10">
        <f t="shared" si="6"/>
        <v>8763.7959467124474</v>
      </c>
      <c r="K31" s="10">
        <f t="shared" si="6"/>
        <v>8939.0718656466961</v>
      </c>
      <c r="L31" s="10">
        <f t="shared" si="6"/>
        <v>9117.8533029596292</v>
      </c>
      <c r="M31" s="10">
        <f t="shared" si="6"/>
        <v>9300.2103690188214</v>
      </c>
      <c r="N31" s="10">
        <f t="shared" si="6"/>
        <v>9486.2145763991975</v>
      </c>
    </row>
    <row r="32" spans="1:14" x14ac:dyDescent="0.25">
      <c r="A32" s="13"/>
      <c r="B32" s="9"/>
      <c r="C32" s="9"/>
      <c r="D32" s="9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x14ac:dyDescent="0.25">
      <c r="A33" s="3" t="s">
        <v>106</v>
      </c>
      <c r="B33" s="18"/>
      <c r="C33" s="18"/>
      <c r="D33" s="18">
        <f>SUM(D23:D31)</f>
        <v>892104</v>
      </c>
      <c r="E33" s="18">
        <f>SUM(E23:E31)</f>
        <v>876485.64</v>
      </c>
      <c r="F33" s="18">
        <f t="shared" ref="F33:N33" si="7">SUM(F23:F31)</f>
        <v>894015.35280000011</v>
      </c>
      <c r="G33" s="18">
        <f t="shared" si="7"/>
        <v>911895.65985600022</v>
      </c>
      <c r="H33" s="18">
        <f t="shared" si="7"/>
        <v>930133.57305312005</v>
      </c>
      <c r="I33" s="18">
        <f t="shared" si="7"/>
        <v>948736.24451418244</v>
      </c>
      <c r="J33" s="18">
        <f t="shared" si="7"/>
        <v>967710.9694044661</v>
      </c>
      <c r="K33" s="18">
        <f t="shared" si="7"/>
        <v>987065.18879255548</v>
      </c>
      <c r="L33" s="18">
        <f t="shared" si="7"/>
        <v>1006806.4925684064</v>
      </c>
      <c r="M33" s="18">
        <f t="shared" si="7"/>
        <v>1026942.6224197746</v>
      </c>
      <c r="N33" s="18">
        <f t="shared" si="7"/>
        <v>1047481.4748681701</v>
      </c>
    </row>
    <row r="34" spans="1:14" x14ac:dyDescent="0.25">
      <c r="A34" s="77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</row>
    <row r="35" spans="1:14" ht="15" x14ac:dyDescent="0.25">
      <c r="A35" s="3" t="s">
        <v>107</v>
      </c>
      <c r="B35" s="14"/>
      <c r="C35" s="14"/>
      <c r="D35" s="28">
        <f>'[1]40'!$U$117</f>
        <v>175794</v>
      </c>
      <c r="E35" s="10">
        <f>(D35*2%)+D35</f>
        <v>179309.88</v>
      </c>
      <c r="F35" s="10">
        <f t="shared" ref="F35:N35" si="8">(E35*2%)+E35</f>
        <v>182896.07760000002</v>
      </c>
      <c r="G35" s="10">
        <f t="shared" si="8"/>
        <v>186553.99915200003</v>
      </c>
      <c r="H35" s="10">
        <f t="shared" si="8"/>
        <v>190285.07913504002</v>
      </c>
      <c r="I35" s="10">
        <f t="shared" si="8"/>
        <v>194090.78071774082</v>
      </c>
      <c r="J35" s="10">
        <f t="shared" si="8"/>
        <v>197972.59633209565</v>
      </c>
      <c r="K35" s="10">
        <f t="shared" si="8"/>
        <v>201932.04825873757</v>
      </c>
      <c r="L35" s="10">
        <f t="shared" si="8"/>
        <v>205970.68922391231</v>
      </c>
      <c r="M35" s="10">
        <f t="shared" si="8"/>
        <v>210090.10300839055</v>
      </c>
      <c r="N35" s="10">
        <f t="shared" si="8"/>
        <v>214291.90506855835</v>
      </c>
    </row>
    <row r="37" spans="1:14" ht="15" x14ac:dyDescent="0.25">
      <c r="A37" s="3" t="s">
        <v>108</v>
      </c>
      <c r="B37" s="14"/>
      <c r="C37" s="14"/>
      <c r="D37" s="28">
        <f>D33+D35</f>
        <v>1067898</v>
      </c>
      <c r="E37" s="28">
        <f t="shared" ref="E37:N37" si="9">E33+E35</f>
        <v>1055795.52</v>
      </c>
      <c r="F37" s="28">
        <f t="shared" si="9"/>
        <v>1076911.4304000002</v>
      </c>
      <c r="G37" s="28">
        <f t="shared" si="9"/>
        <v>1098449.6590080003</v>
      </c>
      <c r="H37" s="28">
        <f t="shared" si="9"/>
        <v>1120418.65218816</v>
      </c>
      <c r="I37" s="28">
        <f t="shared" si="9"/>
        <v>1142827.0252319232</v>
      </c>
      <c r="J37" s="28">
        <f t="shared" si="9"/>
        <v>1165683.5657365618</v>
      </c>
      <c r="K37" s="28">
        <f t="shared" si="9"/>
        <v>1188997.237051293</v>
      </c>
      <c r="L37" s="28">
        <f t="shared" si="9"/>
        <v>1212777.1817923188</v>
      </c>
      <c r="M37" s="28">
        <f t="shared" si="9"/>
        <v>1237032.7254281652</v>
      </c>
      <c r="N37" s="28">
        <f t="shared" si="9"/>
        <v>1261773.3799367284</v>
      </c>
    </row>
    <row r="39" spans="1:14" x14ac:dyDescent="0.25">
      <c r="A39" s="3" t="s">
        <v>53</v>
      </c>
      <c r="B39" s="18"/>
      <c r="C39" s="18"/>
      <c r="D39" s="28">
        <f t="shared" ref="D39:N39" si="10">+D19-D37</f>
        <v>80179</v>
      </c>
      <c r="E39" s="28">
        <f t="shared" si="10"/>
        <v>68450.389999999898</v>
      </c>
      <c r="F39" s="28">
        <f t="shared" si="10"/>
        <v>59138.652699999744</v>
      </c>
      <c r="G39" s="28">
        <f t="shared" si="10"/>
        <v>49667.521594999591</v>
      </c>
      <c r="H39" s="28">
        <f t="shared" si="10"/>
        <v>40034.508431325899</v>
      </c>
      <c r="I39" s="28">
        <f t="shared" si="10"/>
        <v>30237.092104354175</v>
      </c>
      <c r="J39" s="28">
        <f t="shared" si="10"/>
        <v>20272.718398744706</v>
      </c>
      <c r="K39" s="28">
        <f t="shared" si="10"/>
        <v>10138.799732699292</v>
      </c>
      <c r="L39" s="28">
        <f t="shared" si="10"/>
        <v>-167.28509346302599</v>
      </c>
      <c r="M39" s="28">
        <f t="shared" si="10"/>
        <v>-10648.191144110635</v>
      </c>
      <c r="N39" s="28">
        <f t="shared" si="10"/>
        <v>-21306.607590168016</v>
      </c>
    </row>
    <row r="40" spans="1:14" ht="13.5" thickBot="1" x14ac:dyDescent="0.3">
      <c r="A40" s="29"/>
      <c r="B40" s="30"/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</row>
    <row r="41" spans="1:14" x14ac:dyDescent="0.25">
      <c r="A41" s="32" t="s">
        <v>109</v>
      </c>
      <c r="B41" s="33"/>
      <c r="C41" s="33"/>
      <c r="D41" s="34">
        <f t="shared" ref="D41:N41" si="11">D19-D33</f>
        <v>255973</v>
      </c>
      <c r="E41" s="34">
        <f t="shared" si="11"/>
        <v>247760.2699999999</v>
      </c>
      <c r="F41" s="34">
        <f t="shared" si="11"/>
        <v>242034.73029999982</v>
      </c>
      <c r="G41" s="34">
        <f t="shared" si="11"/>
        <v>236221.52074699965</v>
      </c>
      <c r="H41" s="34">
        <f t="shared" si="11"/>
        <v>230319.58756636584</v>
      </c>
      <c r="I41" s="34">
        <f t="shared" si="11"/>
        <v>224327.87282209494</v>
      </c>
      <c r="J41" s="34">
        <f t="shared" si="11"/>
        <v>218245.31473084039</v>
      </c>
      <c r="K41" s="34">
        <f t="shared" si="11"/>
        <v>212070.84799143684</v>
      </c>
      <c r="L41" s="34">
        <f t="shared" si="11"/>
        <v>205803.4041304494</v>
      </c>
      <c r="M41" s="34">
        <f t="shared" si="11"/>
        <v>199441.91186427989</v>
      </c>
      <c r="N41" s="34">
        <f t="shared" si="11"/>
        <v>192985.29747839028</v>
      </c>
    </row>
    <row r="42" spans="1:14" x14ac:dyDescent="0.25">
      <c r="A42" s="35" t="s">
        <v>110</v>
      </c>
      <c r="B42" s="30"/>
      <c r="C42" s="30"/>
      <c r="D42" s="31">
        <v>19000</v>
      </c>
      <c r="E42" s="31">
        <v>19000</v>
      </c>
      <c r="F42" s="31">
        <v>19000</v>
      </c>
      <c r="G42" s="31">
        <v>19000</v>
      </c>
      <c r="H42" s="31">
        <v>19000</v>
      </c>
      <c r="I42" s="31">
        <v>19000</v>
      </c>
      <c r="J42" s="31">
        <v>19000</v>
      </c>
      <c r="K42" s="31">
        <v>19000</v>
      </c>
      <c r="L42" s="31">
        <v>19000</v>
      </c>
      <c r="M42" s="31">
        <v>19000</v>
      </c>
      <c r="N42" s="31">
        <v>19000</v>
      </c>
    </row>
    <row r="43" spans="1:14" ht="13.5" thickBot="1" x14ac:dyDescent="0.3">
      <c r="A43" s="36" t="s">
        <v>111</v>
      </c>
      <c r="B43" s="37"/>
      <c r="C43" s="37"/>
      <c r="D43" s="38">
        <f>D42+D41</f>
        <v>274973</v>
      </c>
      <c r="E43" s="38">
        <f t="shared" ref="E43:N43" si="12">E42+E41</f>
        <v>266760.2699999999</v>
      </c>
      <c r="F43" s="38">
        <f t="shared" si="12"/>
        <v>261034.73029999982</v>
      </c>
      <c r="G43" s="38">
        <f t="shared" si="12"/>
        <v>255221.52074699965</v>
      </c>
      <c r="H43" s="38">
        <f t="shared" si="12"/>
        <v>249319.58756636584</v>
      </c>
      <c r="I43" s="38">
        <f t="shared" si="12"/>
        <v>243327.87282209494</v>
      </c>
      <c r="J43" s="38">
        <f t="shared" si="12"/>
        <v>237245.31473084039</v>
      </c>
      <c r="K43" s="38">
        <f t="shared" si="12"/>
        <v>231070.84799143684</v>
      </c>
      <c r="L43" s="38">
        <f t="shared" si="12"/>
        <v>224803.4041304494</v>
      </c>
      <c r="M43" s="38">
        <f t="shared" si="12"/>
        <v>218441.91186427989</v>
      </c>
      <c r="N43" s="38">
        <f t="shared" si="12"/>
        <v>211985.29747839028</v>
      </c>
    </row>
    <row r="44" spans="1:14" x14ac:dyDescent="0.25">
      <c r="A44" s="29"/>
      <c r="B44" s="30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</row>
    <row r="45" spans="1:14" ht="16.5" thickBot="1" x14ac:dyDescent="0.3">
      <c r="A45" s="72" t="s">
        <v>112</v>
      </c>
    </row>
    <row r="46" spans="1:14" ht="15.75" x14ac:dyDescent="0.25">
      <c r="A46" s="39"/>
      <c r="B46" s="40">
        <v>2010</v>
      </c>
      <c r="C46" s="40">
        <v>2011</v>
      </c>
      <c r="D46" s="40">
        <v>2012</v>
      </c>
      <c r="E46" s="40" t="s">
        <v>2</v>
      </c>
      <c r="F46" s="40" t="s">
        <v>3</v>
      </c>
      <c r="G46" s="40" t="s">
        <v>4</v>
      </c>
      <c r="H46" s="40" t="s">
        <v>5</v>
      </c>
      <c r="I46" s="40" t="s">
        <v>6</v>
      </c>
      <c r="J46" s="40" t="s">
        <v>7</v>
      </c>
      <c r="K46" s="40" t="s">
        <v>8</v>
      </c>
      <c r="L46" s="40" t="s">
        <v>9</v>
      </c>
      <c r="M46" s="40" t="s">
        <v>10</v>
      </c>
      <c r="N46" s="40" t="s">
        <v>20</v>
      </c>
    </row>
    <row r="47" spans="1:14" x14ac:dyDescent="0.2">
      <c r="A47" s="41" t="s">
        <v>1</v>
      </c>
      <c r="B47" s="12"/>
      <c r="C47" s="12"/>
      <c r="D47" s="12"/>
      <c r="E47" s="42">
        <f t="shared" ref="E47:N47" si="13">+E19</f>
        <v>1124245.9099999999</v>
      </c>
      <c r="F47" s="42">
        <f t="shared" si="13"/>
        <v>1136050.0830999999</v>
      </c>
      <c r="G47" s="42">
        <f t="shared" si="13"/>
        <v>1148117.1806029999</v>
      </c>
      <c r="H47" s="42">
        <f t="shared" si="13"/>
        <v>1160453.1606194859</v>
      </c>
      <c r="I47" s="42">
        <f t="shared" si="13"/>
        <v>1173064.1173362774</v>
      </c>
      <c r="J47" s="42">
        <f t="shared" si="13"/>
        <v>1185956.2841353065</v>
      </c>
      <c r="K47" s="42">
        <f t="shared" si="13"/>
        <v>1199136.0367839923</v>
      </c>
      <c r="L47" s="42">
        <f t="shared" si="13"/>
        <v>1212609.8966988558</v>
      </c>
      <c r="M47" s="42">
        <f t="shared" si="13"/>
        <v>1226384.5342840545</v>
      </c>
      <c r="N47" s="42">
        <f t="shared" si="13"/>
        <v>1240466.7723465604</v>
      </c>
    </row>
    <row r="48" spans="1:14" x14ac:dyDescent="0.2">
      <c r="A48" s="43"/>
      <c r="B48" s="12"/>
      <c r="C48" s="12"/>
      <c r="D48" s="12"/>
      <c r="E48" s="42"/>
      <c r="F48" s="42"/>
      <c r="G48" s="42"/>
      <c r="H48" s="42"/>
      <c r="I48" s="42"/>
      <c r="J48" s="42"/>
      <c r="K48" s="42"/>
      <c r="L48" s="42"/>
      <c r="M48" s="42"/>
      <c r="N48" s="42"/>
    </row>
    <row r="49" spans="1:14" x14ac:dyDescent="0.2">
      <c r="A49" s="41" t="s">
        <v>113</v>
      </c>
      <c r="B49" s="12"/>
      <c r="C49" s="12"/>
      <c r="D49" s="12"/>
      <c r="E49" s="42"/>
      <c r="F49" s="42"/>
      <c r="G49" s="42"/>
      <c r="H49" s="42"/>
      <c r="I49" s="42"/>
      <c r="J49" s="42"/>
      <c r="K49" s="42"/>
      <c r="L49" s="42"/>
      <c r="M49" s="42"/>
      <c r="N49" s="42"/>
    </row>
    <row r="50" spans="1:14" x14ac:dyDescent="0.2">
      <c r="A50" s="43" t="s">
        <v>114</v>
      </c>
      <c r="B50" s="12"/>
      <c r="C50" s="12"/>
      <c r="D50" s="12"/>
      <c r="E50" s="42">
        <f>+E33</f>
        <v>876485.64</v>
      </c>
      <c r="F50" s="42">
        <f t="shared" ref="F50:N50" si="14">+F33</f>
        <v>894015.35280000011</v>
      </c>
      <c r="G50" s="42">
        <f t="shared" si="14"/>
        <v>911895.65985600022</v>
      </c>
      <c r="H50" s="42">
        <f t="shared" si="14"/>
        <v>930133.57305312005</v>
      </c>
      <c r="I50" s="42">
        <f t="shared" si="14"/>
        <v>948736.24451418244</v>
      </c>
      <c r="J50" s="42">
        <f t="shared" si="14"/>
        <v>967710.9694044661</v>
      </c>
      <c r="K50" s="42">
        <f t="shared" si="14"/>
        <v>987065.18879255548</v>
      </c>
      <c r="L50" s="42">
        <f t="shared" si="14"/>
        <v>1006806.4925684064</v>
      </c>
      <c r="M50" s="42">
        <f t="shared" si="14"/>
        <v>1026942.6224197746</v>
      </c>
      <c r="N50" s="42">
        <f t="shared" si="14"/>
        <v>1047481.4748681701</v>
      </c>
    </row>
    <row r="51" spans="1:14" x14ac:dyDescent="0.2">
      <c r="A51" s="43" t="s">
        <v>115</v>
      </c>
      <c r="B51" s="12"/>
      <c r="C51" s="12"/>
      <c r="D51" s="12"/>
      <c r="E51" s="42"/>
      <c r="F51" s="42"/>
      <c r="G51" s="42"/>
      <c r="H51" s="42"/>
      <c r="I51" s="42"/>
      <c r="J51" s="42"/>
      <c r="K51" s="42"/>
      <c r="L51" s="42"/>
      <c r="M51" s="42"/>
      <c r="N51" s="42"/>
    </row>
    <row r="52" spans="1:14" ht="25.5" x14ac:dyDescent="0.2">
      <c r="A52" s="44" t="s">
        <v>116</v>
      </c>
      <c r="B52" s="12"/>
      <c r="C52" s="12"/>
      <c r="D52" s="12"/>
      <c r="E52" s="69">
        <f>+E47-E50</f>
        <v>247760.2699999999</v>
      </c>
      <c r="F52" s="69">
        <f t="shared" ref="F52:N52" si="15">+F47-F50</f>
        <v>242034.73029999982</v>
      </c>
      <c r="G52" s="69">
        <f t="shared" si="15"/>
        <v>236221.52074699965</v>
      </c>
      <c r="H52" s="69">
        <f t="shared" si="15"/>
        <v>230319.58756636584</v>
      </c>
      <c r="I52" s="69">
        <f t="shared" si="15"/>
        <v>224327.87282209494</v>
      </c>
      <c r="J52" s="69">
        <f t="shared" si="15"/>
        <v>218245.31473084039</v>
      </c>
      <c r="K52" s="69">
        <f t="shared" si="15"/>
        <v>212070.84799143684</v>
      </c>
      <c r="L52" s="69">
        <f t="shared" si="15"/>
        <v>205803.4041304494</v>
      </c>
      <c r="M52" s="69">
        <f t="shared" si="15"/>
        <v>199441.91186427989</v>
      </c>
      <c r="N52" s="69">
        <f t="shared" si="15"/>
        <v>192985.29747839028</v>
      </c>
    </row>
    <row r="53" spans="1:14" x14ac:dyDescent="0.2">
      <c r="A53" s="43"/>
      <c r="B53" s="12"/>
      <c r="C53" s="12"/>
      <c r="D53" s="12"/>
      <c r="E53" s="42"/>
      <c r="F53" s="42"/>
      <c r="G53" s="42"/>
      <c r="H53" s="42"/>
      <c r="I53" s="42"/>
      <c r="J53" s="42"/>
      <c r="K53" s="42"/>
      <c r="L53" s="42"/>
      <c r="M53" s="42"/>
      <c r="N53" s="42"/>
    </row>
    <row r="54" spans="1:14" x14ac:dyDescent="0.2">
      <c r="A54" s="41" t="s">
        <v>117</v>
      </c>
      <c r="B54" s="12"/>
      <c r="C54" s="12"/>
      <c r="D54" s="12"/>
      <c r="E54" s="42"/>
      <c r="F54" s="42"/>
      <c r="G54" s="42"/>
      <c r="H54" s="42"/>
      <c r="I54" s="42"/>
      <c r="J54" s="42"/>
      <c r="K54" s="42"/>
      <c r="L54" s="42"/>
      <c r="M54" s="42"/>
      <c r="N54" s="42"/>
    </row>
    <row r="55" spans="1:14" x14ac:dyDescent="0.2">
      <c r="A55" s="43" t="s">
        <v>118</v>
      </c>
      <c r="B55" s="12"/>
      <c r="C55" s="12"/>
      <c r="D55" s="12"/>
      <c r="E55" s="42">
        <f>'Capital Plan'!B15</f>
        <v>347017.57</v>
      </c>
      <c r="F55" s="42">
        <f>'Capital Plan'!C15</f>
        <v>431906.27040000004</v>
      </c>
      <c r="G55" s="42">
        <f>'Capital Plan'!D15</f>
        <v>697251.6</v>
      </c>
      <c r="H55" s="42">
        <f>'Capital Plan'!E15</f>
        <v>338008.62</v>
      </c>
      <c r="I55" s="42">
        <f>'Capital Plan'!F15</f>
        <v>421744.5</v>
      </c>
      <c r="J55" s="42">
        <f>'Capital Plan'!G15</f>
        <v>525552.87839999993</v>
      </c>
      <c r="K55" s="42">
        <f>'Capital Plan'!H15</f>
        <v>53892.72</v>
      </c>
      <c r="L55" s="42">
        <f>'Capital Plan'!I15</f>
        <v>409251.78479999996</v>
      </c>
      <c r="M55" s="42">
        <f>'Capital Plan'!J15</f>
        <v>593082.84539999999</v>
      </c>
      <c r="N55" s="42">
        <f>'Capital Plan'!K15</f>
        <v>402453.495</v>
      </c>
    </row>
    <row r="56" spans="1:14" x14ac:dyDescent="0.2">
      <c r="A56" s="43"/>
      <c r="B56" s="12"/>
      <c r="C56" s="12"/>
      <c r="D56" s="12"/>
      <c r="E56" s="42"/>
      <c r="F56" s="12"/>
      <c r="G56" s="12"/>
      <c r="H56" s="12"/>
      <c r="I56" s="12"/>
      <c r="J56" s="12"/>
      <c r="K56" s="12"/>
      <c r="L56" s="12"/>
      <c r="M56" s="12"/>
      <c r="N56" s="12"/>
    </row>
    <row r="57" spans="1:14" x14ac:dyDescent="0.2">
      <c r="A57" s="41" t="s">
        <v>119</v>
      </c>
      <c r="B57" s="12"/>
      <c r="C57" s="12"/>
      <c r="D57" s="12"/>
      <c r="E57" s="42"/>
      <c r="F57" s="12"/>
      <c r="G57" s="12"/>
      <c r="H57" s="12"/>
      <c r="I57" s="12"/>
      <c r="J57" s="12"/>
      <c r="K57" s="12"/>
      <c r="L57" s="12"/>
      <c r="M57" s="12"/>
      <c r="N57" s="12"/>
    </row>
    <row r="58" spans="1:14" x14ac:dyDescent="0.2">
      <c r="A58" s="43" t="s">
        <v>120</v>
      </c>
      <c r="B58" s="12"/>
      <c r="C58" s="12"/>
      <c r="D58" s="12"/>
      <c r="E58" s="42"/>
      <c r="F58" s="12"/>
      <c r="G58" s="12"/>
      <c r="H58" s="12"/>
      <c r="I58" s="12"/>
      <c r="J58" s="12"/>
      <c r="K58" s="12"/>
      <c r="L58" s="12"/>
      <c r="M58" s="12"/>
      <c r="N58" s="12"/>
    </row>
    <row r="59" spans="1:14" x14ac:dyDescent="0.2">
      <c r="A59" s="43" t="s">
        <v>121</v>
      </c>
      <c r="B59" s="12"/>
      <c r="C59" s="12"/>
      <c r="D59" s="42">
        <v>19000</v>
      </c>
      <c r="E59" s="42">
        <v>19000</v>
      </c>
      <c r="F59" s="42">
        <v>19000</v>
      </c>
      <c r="G59" s="42">
        <v>19000</v>
      </c>
      <c r="H59" s="42">
        <v>19000</v>
      </c>
      <c r="I59" s="42">
        <v>19000</v>
      </c>
      <c r="J59" s="42">
        <v>19000</v>
      </c>
      <c r="K59" s="42">
        <v>19000</v>
      </c>
      <c r="L59" s="42">
        <v>19000</v>
      </c>
      <c r="M59" s="42">
        <v>19000</v>
      </c>
      <c r="N59" s="42">
        <v>19000</v>
      </c>
    </row>
    <row r="60" spans="1:14" x14ac:dyDescent="0.2">
      <c r="A60" s="43" t="s">
        <v>122</v>
      </c>
      <c r="B60" s="12"/>
      <c r="C60" s="12"/>
      <c r="D60" s="12"/>
      <c r="E60" s="42"/>
      <c r="F60" s="12"/>
      <c r="G60" s="12"/>
      <c r="H60" s="12"/>
      <c r="I60" s="12"/>
      <c r="J60" s="12"/>
      <c r="K60" s="12"/>
      <c r="L60" s="12"/>
      <c r="M60" s="12"/>
      <c r="N60" s="12"/>
    </row>
    <row r="61" spans="1:14" x14ac:dyDescent="0.2">
      <c r="A61" s="43" t="s">
        <v>123</v>
      </c>
      <c r="B61" s="12"/>
      <c r="C61" s="12"/>
      <c r="D61" s="12"/>
      <c r="E61" s="42"/>
      <c r="F61" s="12"/>
      <c r="G61" s="12"/>
      <c r="H61" s="12"/>
      <c r="I61" s="12"/>
      <c r="J61" s="12"/>
      <c r="K61" s="12"/>
      <c r="L61" s="12"/>
      <c r="M61" s="12"/>
      <c r="N61" s="12"/>
    </row>
    <row r="62" spans="1:14" x14ac:dyDescent="0.2">
      <c r="A62" s="43"/>
      <c r="B62" s="12"/>
      <c r="C62" s="12"/>
      <c r="D62" s="12"/>
      <c r="E62" s="42"/>
      <c r="F62" s="12"/>
      <c r="G62" s="12"/>
      <c r="H62" s="12"/>
      <c r="I62" s="12"/>
      <c r="J62" s="12"/>
      <c r="K62" s="12"/>
      <c r="L62" s="12"/>
      <c r="M62" s="12"/>
      <c r="N62" s="12"/>
    </row>
    <row r="63" spans="1:14" x14ac:dyDescent="0.2">
      <c r="A63" s="45" t="s">
        <v>124</v>
      </c>
      <c r="B63" s="12"/>
      <c r="C63" s="12"/>
      <c r="D63" s="12"/>
      <c r="E63" s="42"/>
      <c r="F63" s="12"/>
      <c r="G63" s="12"/>
      <c r="H63" s="12"/>
      <c r="I63" s="12"/>
      <c r="J63" s="12"/>
      <c r="K63" s="12"/>
      <c r="L63" s="12"/>
      <c r="M63" s="12"/>
      <c r="N63" s="12"/>
    </row>
    <row r="64" spans="1:14" ht="13.5" thickBot="1" x14ac:dyDescent="0.25">
      <c r="A64" s="50"/>
      <c r="E64" s="46"/>
    </row>
    <row r="65" spans="1:14" ht="13.5" thickBot="1" x14ac:dyDescent="0.25">
      <c r="A65" s="47" t="s">
        <v>125</v>
      </c>
      <c r="B65" s="48"/>
      <c r="C65" s="48"/>
      <c r="D65" s="48"/>
      <c r="E65" s="49">
        <f>+E52-E55+E58+E61+E60+E59-E63</f>
        <v>-80257.300000000105</v>
      </c>
      <c r="F65" s="49">
        <f t="shared" ref="F65:N65" si="16">+F52-F55+F58+F61+F60+F59-F63</f>
        <v>-170871.54010000022</v>
      </c>
      <c r="G65" s="49">
        <f t="shared" si="16"/>
        <v>-442030.07925300032</v>
      </c>
      <c r="H65" s="49">
        <f t="shared" si="16"/>
        <v>-88689.032433634158</v>
      </c>
      <c r="I65" s="49">
        <f t="shared" si="16"/>
        <v>-178416.62717790506</v>
      </c>
      <c r="J65" s="49">
        <f t="shared" si="16"/>
        <v>-288307.56366915954</v>
      </c>
      <c r="K65" s="49">
        <f t="shared" si="16"/>
        <v>177178.12799143684</v>
      </c>
      <c r="L65" s="49">
        <f t="shared" si="16"/>
        <v>-184448.38066955056</v>
      </c>
      <c r="M65" s="49">
        <f t="shared" si="16"/>
        <v>-374640.93353572011</v>
      </c>
      <c r="N65" s="49">
        <f t="shared" si="16"/>
        <v>-190468.19752160972</v>
      </c>
    </row>
    <row r="66" spans="1:14" ht="13.5" thickBot="1" x14ac:dyDescent="0.25">
      <c r="A66" s="50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</row>
    <row r="67" spans="1:14" ht="26.25" thickBot="1" x14ac:dyDescent="0.25">
      <c r="A67" s="47" t="s">
        <v>126</v>
      </c>
      <c r="B67" s="48"/>
      <c r="C67" s="48"/>
      <c r="D67" s="48"/>
      <c r="E67" s="49">
        <f>'[1]60'!$U$132+'[1]60'!$V$132</f>
        <v>816116</v>
      </c>
      <c r="F67" s="49">
        <f>+E69</f>
        <v>735858.7</v>
      </c>
      <c r="G67" s="49">
        <f t="shared" ref="G67:N67" si="17">+F69</f>
        <v>564987.15989999974</v>
      </c>
      <c r="H67" s="49">
        <f t="shared" si="17"/>
        <v>122957.08064699941</v>
      </c>
      <c r="I67" s="49">
        <f t="shared" si="17"/>
        <v>34268.048213365255</v>
      </c>
      <c r="J67" s="49">
        <f t="shared" si="17"/>
        <v>-144148.5789645398</v>
      </c>
      <c r="K67" s="49">
        <f t="shared" si="17"/>
        <v>-432456.14263369935</v>
      </c>
      <c r="L67" s="49">
        <f t="shared" si="17"/>
        <v>-255278.01464226251</v>
      </c>
      <c r="M67" s="49">
        <f t="shared" si="17"/>
        <v>-439726.3953118131</v>
      </c>
      <c r="N67" s="49">
        <f t="shared" si="17"/>
        <v>-814367.32884753321</v>
      </c>
    </row>
    <row r="68" spans="1:14" ht="13.5" thickBot="1" x14ac:dyDescent="0.25">
      <c r="A68" s="50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</row>
    <row r="69" spans="1:14" ht="26.25" thickBot="1" x14ac:dyDescent="0.25">
      <c r="A69" s="47" t="s">
        <v>127</v>
      </c>
      <c r="B69" s="48"/>
      <c r="C69" s="48"/>
      <c r="D69" s="48"/>
      <c r="E69" s="52">
        <f>+E65+E67</f>
        <v>735858.7</v>
      </c>
      <c r="F69" s="52">
        <f>+F65+F67</f>
        <v>564987.15989999974</v>
      </c>
      <c r="G69" s="52">
        <f t="shared" ref="G69:N69" si="18">+G65+G67</f>
        <v>122957.08064699941</v>
      </c>
      <c r="H69" s="52">
        <f t="shared" si="18"/>
        <v>34268.048213365255</v>
      </c>
      <c r="I69" s="52">
        <f t="shared" si="18"/>
        <v>-144148.5789645398</v>
      </c>
      <c r="J69" s="52">
        <f t="shared" si="18"/>
        <v>-432456.14263369935</v>
      </c>
      <c r="K69" s="52">
        <f t="shared" si="18"/>
        <v>-255278.01464226251</v>
      </c>
      <c r="L69" s="52">
        <f t="shared" si="18"/>
        <v>-439726.3953118131</v>
      </c>
      <c r="M69" s="52">
        <f t="shared" si="18"/>
        <v>-814367.32884753321</v>
      </c>
      <c r="N69" s="52">
        <f t="shared" si="18"/>
        <v>-1004835.5263691429</v>
      </c>
    </row>
    <row r="70" spans="1:14" ht="13.5" thickBot="1" x14ac:dyDescent="0.3"/>
    <row r="71" spans="1:14" x14ac:dyDescent="0.25">
      <c r="D71" s="53" t="s">
        <v>51</v>
      </c>
      <c r="E71" s="54">
        <v>2.3E-2</v>
      </c>
      <c r="F71" s="54">
        <v>2.3E-2</v>
      </c>
      <c r="G71" s="54">
        <v>2.3E-2</v>
      </c>
      <c r="H71" s="54">
        <v>2.3E-2</v>
      </c>
      <c r="I71" s="54">
        <v>2.3E-2</v>
      </c>
      <c r="J71" s="54">
        <v>2.3E-2</v>
      </c>
      <c r="K71" s="54">
        <v>2.3E-2</v>
      </c>
      <c r="L71" s="54">
        <v>2.3E-2</v>
      </c>
      <c r="M71" s="54">
        <v>2.3E-2</v>
      </c>
      <c r="N71" s="55">
        <v>2.3E-2</v>
      </c>
    </row>
    <row r="72" spans="1:14" x14ac:dyDescent="0.25">
      <c r="D72" s="56" t="s">
        <v>128</v>
      </c>
      <c r="E72" s="57">
        <v>0.02</v>
      </c>
      <c r="F72" s="57">
        <v>0.02</v>
      </c>
      <c r="G72" s="57">
        <v>0.02</v>
      </c>
      <c r="H72" s="57">
        <v>0.02</v>
      </c>
      <c r="I72" s="57">
        <v>0.02</v>
      </c>
      <c r="J72" s="57">
        <v>0.02</v>
      </c>
      <c r="K72" s="57">
        <v>0.02</v>
      </c>
      <c r="L72" s="57">
        <v>0.02</v>
      </c>
      <c r="M72" s="57">
        <v>0.02</v>
      </c>
      <c r="N72" s="58">
        <v>0.02</v>
      </c>
    </row>
    <row r="73" spans="1:14" x14ac:dyDescent="0.25">
      <c r="D73" s="56" t="s">
        <v>129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7">
        <v>0</v>
      </c>
      <c r="K73" s="57">
        <v>0</v>
      </c>
      <c r="L73" s="57">
        <v>0</v>
      </c>
      <c r="M73" s="57">
        <v>0</v>
      </c>
      <c r="N73" s="58">
        <v>0</v>
      </c>
    </row>
    <row r="74" spans="1:14" x14ac:dyDescent="0.25">
      <c r="D74" s="56" t="s">
        <v>130</v>
      </c>
      <c r="E74" s="57">
        <v>0.01</v>
      </c>
      <c r="F74" s="57">
        <v>0.01</v>
      </c>
      <c r="G74" s="57">
        <v>0.01</v>
      </c>
      <c r="H74" s="57">
        <v>0.01</v>
      </c>
      <c r="I74" s="57">
        <v>0.01</v>
      </c>
      <c r="J74" s="57">
        <v>0.01</v>
      </c>
      <c r="K74" s="57">
        <v>0.01</v>
      </c>
      <c r="L74" s="57">
        <v>0.01</v>
      </c>
      <c r="M74" s="57">
        <v>0.01</v>
      </c>
      <c r="N74" s="58">
        <v>0.01</v>
      </c>
    </row>
    <row r="75" spans="1:14" x14ac:dyDescent="0.25">
      <c r="D75" s="56" t="s">
        <v>131</v>
      </c>
      <c r="E75" s="57">
        <v>0.01</v>
      </c>
      <c r="F75" s="57">
        <v>0.01</v>
      </c>
      <c r="G75" s="57">
        <v>0.01</v>
      </c>
      <c r="H75" s="57">
        <v>0.01</v>
      </c>
      <c r="I75" s="57">
        <v>0.01</v>
      </c>
      <c r="J75" s="57">
        <v>0.01</v>
      </c>
      <c r="K75" s="57">
        <v>0.01</v>
      </c>
      <c r="L75" s="57">
        <v>0.01</v>
      </c>
      <c r="M75" s="57">
        <v>0.01</v>
      </c>
      <c r="N75" s="58">
        <v>0.01</v>
      </c>
    </row>
    <row r="76" spans="1:14" ht="13.5" thickBot="1" x14ac:dyDescent="0.3">
      <c r="D76" s="59" t="s">
        <v>132</v>
      </c>
      <c r="E76" s="60">
        <v>0.02</v>
      </c>
      <c r="F76" s="60">
        <v>0.02</v>
      </c>
      <c r="G76" s="60">
        <v>0.02</v>
      </c>
      <c r="H76" s="60">
        <v>0.02</v>
      </c>
      <c r="I76" s="60">
        <v>0.02</v>
      </c>
      <c r="J76" s="60">
        <v>0.02</v>
      </c>
      <c r="K76" s="60">
        <v>0.02</v>
      </c>
      <c r="L76" s="60">
        <v>0.02</v>
      </c>
      <c r="M76" s="60">
        <v>0.02</v>
      </c>
      <c r="N76" s="61">
        <v>0.02</v>
      </c>
    </row>
  </sheetData>
  <mergeCells count="6">
    <mergeCell ref="A34:N34"/>
    <mergeCell ref="A7:N7"/>
    <mergeCell ref="A10:N10"/>
    <mergeCell ref="A18:N18"/>
    <mergeCell ref="A20:N20"/>
    <mergeCell ref="A22:N22"/>
  </mergeCells>
  <pageMargins left="0.19685039370078741" right="0.19685039370078741" top="0.19685039370078741" bottom="0.19685039370078741" header="0.31496062992125984" footer="0.31496062992125984"/>
  <pageSetup scale="75" fitToHeight="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R76"/>
  <sheetViews>
    <sheetView showGridLines="0" tabSelected="1" zoomScaleNormal="100" workbookViewId="0">
      <selection activeCell="D71" sqref="D71:E76"/>
    </sheetView>
  </sheetViews>
  <sheetFormatPr defaultRowHeight="12.75" x14ac:dyDescent="0.25"/>
  <cols>
    <col min="1" max="1" width="38.140625" style="4" customWidth="1"/>
    <col min="2" max="3" width="6.140625" style="7" bestFit="1" customWidth="1"/>
    <col min="4" max="4" width="11.28515625" style="7" bestFit="1" customWidth="1"/>
    <col min="5" max="14" width="11.85546875" style="7" bestFit="1" customWidth="1"/>
    <col min="15" max="18" width="11.28515625" style="4" bestFit="1" customWidth="1"/>
    <col min="19" max="16384" width="9.140625" style="4"/>
  </cols>
  <sheetData>
    <row r="1" spans="1:18" ht="14.25" x14ac:dyDescent="0.2">
      <c r="A1" s="71"/>
    </row>
    <row r="4" spans="1:18" ht="15.75" x14ac:dyDescent="0.25">
      <c r="A4" s="25" t="s">
        <v>76</v>
      </c>
    </row>
    <row r="5" spans="1:18" ht="15.75" x14ac:dyDescent="0.25">
      <c r="A5" s="25" t="s">
        <v>77</v>
      </c>
    </row>
    <row r="6" spans="1:18" ht="13.5" thickBot="1" x14ac:dyDescent="0.3"/>
    <row r="7" spans="1:18" ht="16.5" thickBot="1" x14ac:dyDescent="0.3">
      <c r="A7" s="81" t="s">
        <v>19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3"/>
    </row>
    <row r="8" spans="1:18" x14ac:dyDescent="0.25">
      <c r="A8" s="6"/>
      <c r="D8" s="17"/>
    </row>
    <row r="9" spans="1:18" ht="14.25" x14ac:dyDescent="0.25">
      <c r="A9" s="26" t="s">
        <v>0</v>
      </c>
      <c r="B9" s="27">
        <v>2010</v>
      </c>
      <c r="C9" s="27">
        <v>2011</v>
      </c>
      <c r="D9" s="27">
        <v>2012</v>
      </c>
      <c r="E9" s="27" t="s">
        <v>2</v>
      </c>
      <c r="F9" s="27" t="s">
        <v>3</v>
      </c>
      <c r="G9" s="27" t="s">
        <v>4</v>
      </c>
      <c r="H9" s="27" t="s">
        <v>5</v>
      </c>
      <c r="I9" s="27" t="s">
        <v>6</v>
      </c>
      <c r="J9" s="27" t="s">
        <v>7</v>
      </c>
      <c r="K9" s="27" t="s">
        <v>8</v>
      </c>
      <c r="L9" s="27" t="s">
        <v>9</v>
      </c>
      <c r="M9" s="27" t="s">
        <v>10</v>
      </c>
      <c r="N9" s="27" t="s">
        <v>20</v>
      </c>
    </row>
    <row r="10" spans="1:18" x14ac:dyDescent="0.25">
      <c r="A10" s="77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9"/>
    </row>
    <row r="11" spans="1:18" x14ac:dyDescent="0.25">
      <c r="A11" s="3" t="s">
        <v>98</v>
      </c>
      <c r="B11" s="8"/>
      <c r="C11" s="8"/>
      <c r="D11" s="9">
        <f>'[1]10'!$U$19</f>
        <v>506146</v>
      </c>
      <c r="E11" s="10">
        <v>480728</v>
      </c>
      <c r="F11" s="10">
        <f>(E11*2.8%)+E11</f>
        <v>494188.38400000002</v>
      </c>
      <c r="G11" s="10">
        <f t="shared" ref="G11:N11" si="0">(F11*2.8%)+F11</f>
        <v>508025.65875200002</v>
      </c>
      <c r="H11" s="10">
        <f t="shared" si="0"/>
        <v>522250.37719705602</v>
      </c>
      <c r="I11" s="10">
        <f t="shared" si="0"/>
        <v>536873.38775857363</v>
      </c>
      <c r="J11" s="10">
        <f t="shared" si="0"/>
        <v>551905.84261581372</v>
      </c>
      <c r="K11" s="10">
        <f t="shared" si="0"/>
        <v>567359.20620905655</v>
      </c>
      <c r="L11" s="10">
        <f t="shared" si="0"/>
        <v>583245.26398291008</v>
      </c>
      <c r="M11" s="10">
        <f t="shared" si="0"/>
        <v>599576.13137443154</v>
      </c>
      <c r="N11" s="10">
        <f t="shared" si="0"/>
        <v>616364.26305291557</v>
      </c>
      <c r="O11" s="10">
        <f t="shared" ref="O11:R11" si="1">(N11*2.8%)+N11</f>
        <v>633622.46241839719</v>
      </c>
      <c r="P11" s="10">
        <f t="shared" si="1"/>
        <v>651363.89136611228</v>
      </c>
      <c r="Q11" s="10">
        <f t="shared" si="1"/>
        <v>669602.08032436343</v>
      </c>
      <c r="R11" s="10">
        <f t="shared" si="1"/>
        <v>688350.93857344566</v>
      </c>
    </row>
    <row r="12" spans="1:18" x14ac:dyDescent="0.25">
      <c r="A12" s="3" t="s">
        <v>99</v>
      </c>
      <c r="B12" s="8"/>
      <c r="C12" s="8"/>
      <c r="D12" s="9">
        <f>'[1]10'!$U$28</f>
        <v>574500</v>
      </c>
      <c r="E12" s="10">
        <f>D12</f>
        <v>574500</v>
      </c>
      <c r="F12" s="10">
        <f t="shared" ref="F12:R12" si="2">E12</f>
        <v>574500</v>
      </c>
      <c r="G12" s="10">
        <f t="shared" si="2"/>
        <v>574500</v>
      </c>
      <c r="H12" s="10">
        <f t="shared" si="2"/>
        <v>574500</v>
      </c>
      <c r="I12" s="10">
        <f t="shared" si="2"/>
        <v>574500</v>
      </c>
      <c r="J12" s="10">
        <f t="shared" si="2"/>
        <v>574500</v>
      </c>
      <c r="K12" s="10">
        <f t="shared" si="2"/>
        <v>574500</v>
      </c>
      <c r="L12" s="10">
        <f t="shared" si="2"/>
        <v>574500</v>
      </c>
      <c r="M12" s="10">
        <f t="shared" si="2"/>
        <v>574500</v>
      </c>
      <c r="N12" s="10">
        <f t="shared" si="2"/>
        <v>574500</v>
      </c>
      <c r="O12" s="10">
        <f t="shared" si="2"/>
        <v>574500</v>
      </c>
      <c r="P12" s="10">
        <f t="shared" si="2"/>
        <v>574500</v>
      </c>
      <c r="Q12" s="10">
        <f t="shared" si="2"/>
        <v>574500</v>
      </c>
      <c r="R12" s="10">
        <f t="shared" si="2"/>
        <v>574500</v>
      </c>
    </row>
    <row r="13" spans="1:18" x14ac:dyDescent="0.25">
      <c r="A13" s="3" t="s">
        <v>100</v>
      </c>
      <c r="B13" s="8"/>
      <c r="C13" s="8"/>
      <c r="D13" s="9">
        <f>'[1]10'!$U$40</f>
        <v>15369</v>
      </c>
      <c r="E13" s="10">
        <f>(D13*1%)+D13</f>
        <v>15522.69</v>
      </c>
      <c r="F13" s="10">
        <f t="shared" ref="F13:N13" si="3">(E13*1%)+E13</f>
        <v>15677.9169</v>
      </c>
      <c r="G13" s="10">
        <f t="shared" si="3"/>
        <v>15834.696069</v>
      </c>
      <c r="H13" s="10">
        <f t="shared" si="3"/>
        <v>15993.043029689999</v>
      </c>
      <c r="I13" s="10">
        <f t="shared" si="3"/>
        <v>16152.973459986899</v>
      </c>
      <c r="J13" s="10">
        <f t="shared" si="3"/>
        <v>16314.503194586769</v>
      </c>
      <c r="K13" s="10">
        <f t="shared" si="3"/>
        <v>16477.648226532638</v>
      </c>
      <c r="L13" s="10">
        <f t="shared" si="3"/>
        <v>16642.424708797964</v>
      </c>
      <c r="M13" s="10">
        <f t="shared" si="3"/>
        <v>16808.848955885944</v>
      </c>
      <c r="N13" s="10">
        <f t="shared" si="3"/>
        <v>16976.937445444804</v>
      </c>
      <c r="O13" s="10">
        <f t="shared" ref="O13" si="4">(N13*1%)+N13</f>
        <v>17146.706819899253</v>
      </c>
      <c r="P13" s="10">
        <f t="shared" ref="P13" si="5">(O13*1%)+O13</f>
        <v>17318.173888098245</v>
      </c>
      <c r="Q13" s="10">
        <f t="shared" ref="Q13" si="6">(P13*1%)+P13</f>
        <v>17491.355626979228</v>
      </c>
      <c r="R13" s="10">
        <f t="shared" ref="R13" si="7">(Q13*1%)+Q13</f>
        <v>17666.26918324902</v>
      </c>
    </row>
    <row r="14" spans="1:18" x14ac:dyDescent="0.25">
      <c r="A14" s="3" t="s">
        <v>101</v>
      </c>
      <c r="B14" s="11"/>
      <c r="C14" s="8"/>
      <c r="D14" s="9">
        <f>'[1]10'!$U$42</f>
        <v>1650</v>
      </c>
      <c r="E14" s="10">
        <v>5725</v>
      </c>
      <c r="F14" s="10">
        <f t="shared" ref="F14:N14" si="8">(E14*2%)+E14</f>
        <v>5839.5</v>
      </c>
      <c r="G14" s="10">
        <f t="shared" si="8"/>
        <v>5956.29</v>
      </c>
      <c r="H14" s="10">
        <f t="shared" si="8"/>
        <v>6075.4157999999998</v>
      </c>
      <c r="I14" s="10">
        <f t="shared" si="8"/>
        <v>6196.9241160000001</v>
      </c>
      <c r="J14" s="10">
        <f t="shared" si="8"/>
        <v>6320.86259832</v>
      </c>
      <c r="K14" s="10">
        <f t="shared" si="8"/>
        <v>6447.2798502863998</v>
      </c>
      <c r="L14" s="10">
        <f t="shared" si="8"/>
        <v>6576.2254472921277</v>
      </c>
      <c r="M14" s="10">
        <f t="shared" si="8"/>
        <v>6707.7499562379699</v>
      </c>
      <c r="N14" s="10">
        <f t="shared" si="8"/>
        <v>6841.9049553627292</v>
      </c>
      <c r="O14" s="10">
        <f t="shared" ref="O14" si="9">(N14*2%)+N14</f>
        <v>6978.7430544699837</v>
      </c>
      <c r="P14" s="10">
        <f t="shared" ref="P14" si="10">(O14*2%)+O14</f>
        <v>7118.3179155593834</v>
      </c>
      <c r="Q14" s="10">
        <f t="shared" ref="Q14" si="11">(P14*2%)+P14</f>
        <v>7260.6842738705709</v>
      </c>
      <c r="R14" s="10">
        <f t="shared" ref="R14" si="12">(Q14*2%)+Q14</f>
        <v>7405.8979593479826</v>
      </c>
    </row>
    <row r="15" spans="1:18" x14ac:dyDescent="0.25">
      <c r="A15" s="3" t="s">
        <v>102</v>
      </c>
      <c r="B15" s="8"/>
      <c r="C15" s="8"/>
      <c r="D15" s="9">
        <f>'[1]10'!$U$49</f>
        <v>7222</v>
      </c>
      <c r="E15" s="10">
        <f>(D15*1%)+D15</f>
        <v>7294.22</v>
      </c>
      <c r="F15" s="10">
        <f t="shared" ref="F15:N17" si="13">(E15*1%)+E15</f>
        <v>7367.1622000000007</v>
      </c>
      <c r="G15" s="10">
        <f t="shared" si="13"/>
        <v>7440.8338220000005</v>
      </c>
      <c r="H15" s="10">
        <f t="shared" si="13"/>
        <v>7515.2421602200002</v>
      </c>
      <c r="I15" s="10">
        <f t="shared" si="13"/>
        <v>7590.3945818222001</v>
      </c>
      <c r="J15" s="10">
        <f t="shared" si="13"/>
        <v>7666.2985276404224</v>
      </c>
      <c r="K15" s="10">
        <f t="shared" si="13"/>
        <v>7742.9615129168269</v>
      </c>
      <c r="L15" s="10">
        <f t="shared" si="13"/>
        <v>7820.3911280459952</v>
      </c>
      <c r="M15" s="10">
        <f t="shared" si="13"/>
        <v>7898.5950393264548</v>
      </c>
      <c r="N15" s="10">
        <f t="shared" si="13"/>
        <v>7977.5809897197196</v>
      </c>
      <c r="O15" s="10">
        <f t="shared" ref="O15:O17" si="14">(N15*1%)+N15</f>
        <v>8057.3567996169168</v>
      </c>
      <c r="P15" s="10">
        <f t="shared" ref="P15:P17" si="15">(O15*1%)+O15</f>
        <v>8137.9303676130858</v>
      </c>
      <c r="Q15" s="10">
        <f t="shared" ref="Q15:Q17" si="16">(P15*1%)+P15</f>
        <v>8219.3096712892166</v>
      </c>
      <c r="R15" s="10">
        <f t="shared" ref="R15:R17" si="17">(Q15*1%)+Q15</f>
        <v>8301.5027680021085</v>
      </c>
    </row>
    <row r="16" spans="1:18" x14ac:dyDescent="0.25">
      <c r="A16" s="3" t="s">
        <v>103</v>
      </c>
      <c r="B16" s="8"/>
      <c r="C16" s="8"/>
      <c r="D16" s="9">
        <f>'[1]10'!$U$55</f>
        <v>23121</v>
      </c>
      <c r="E16" s="10">
        <v>23250</v>
      </c>
      <c r="F16" s="10">
        <f t="shared" si="13"/>
        <v>23482.5</v>
      </c>
      <c r="G16" s="10">
        <f t="shared" si="13"/>
        <v>23717.325000000001</v>
      </c>
      <c r="H16" s="10">
        <f t="shared" si="13"/>
        <v>23954.498250000001</v>
      </c>
      <c r="I16" s="10">
        <f t="shared" si="13"/>
        <v>24194.0432325</v>
      </c>
      <c r="J16" s="10">
        <f t="shared" si="13"/>
        <v>24435.983664824998</v>
      </c>
      <c r="K16" s="10">
        <f t="shared" si="13"/>
        <v>24680.343501473249</v>
      </c>
      <c r="L16" s="10">
        <f t="shared" si="13"/>
        <v>24927.146936487981</v>
      </c>
      <c r="M16" s="10">
        <f t="shared" si="13"/>
        <v>25176.418405852863</v>
      </c>
      <c r="N16" s="10">
        <f t="shared" si="13"/>
        <v>25428.18258991139</v>
      </c>
      <c r="O16" s="10">
        <f t="shared" si="14"/>
        <v>25682.464415810504</v>
      </c>
      <c r="P16" s="10">
        <f t="shared" si="15"/>
        <v>25939.289059968611</v>
      </c>
      <c r="Q16" s="10">
        <f t="shared" si="16"/>
        <v>26198.681950568298</v>
      </c>
      <c r="R16" s="10">
        <f t="shared" si="17"/>
        <v>26460.668770073982</v>
      </c>
    </row>
    <row r="17" spans="1:18" x14ac:dyDescent="0.25">
      <c r="A17" s="3" t="s">
        <v>52</v>
      </c>
      <c r="B17" s="8"/>
      <c r="C17" s="8"/>
      <c r="D17" s="9">
        <f>'[1]10'!$U$58</f>
        <v>20069</v>
      </c>
      <c r="E17" s="10">
        <v>17226</v>
      </c>
      <c r="F17" s="10">
        <f t="shared" si="13"/>
        <v>17398.259999999998</v>
      </c>
      <c r="G17" s="10">
        <f t="shared" si="13"/>
        <v>17572.242599999998</v>
      </c>
      <c r="H17" s="10">
        <f t="shared" si="13"/>
        <v>17747.965025999998</v>
      </c>
      <c r="I17" s="10">
        <f t="shared" si="13"/>
        <v>17925.444676259998</v>
      </c>
      <c r="J17" s="10">
        <f t="shared" si="13"/>
        <v>18104.699123022598</v>
      </c>
      <c r="K17" s="10">
        <f t="shared" si="13"/>
        <v>18285.746114252823</v>
      </c>
      <c r="L17" s="10">
        <f t="shared" si="13"/>
        <v>18468.603575395351</v>
      </c>
      <c r="M17" s="10">
        <f t="shared" si="13"/>
        <v>18653.289611149303</v>
      </c>
      <c r="N17" s="10">
        <f t="shared" si="13"/>
        <v>18839.822507260797</v>
      </c>
      <c r="O17" s="10">
        <f t="shared" si="14"/>
        <v>19028.220732333404</v>
      </c>
      <c r="P17" s="10">
        <f t="shared" si="15"/>
        <v>19218.502939656737</v>
      </c>
      <c r="Q17" s="10">
        <f t="shared" si="16"/>
        <v>19410.687969053306</v>
      </c>
      <c r="R17" s="10">
        <f t="shared" si="17"/>
        <v>19604.794848743841</v>
      </c>
    </row>
    <row r="18" spans="1:18" x14ac:dyDescent="0.25">
      <c r="A18" s="77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9"/>
    </row>
    <row r="19" spans="1:18" x14ac:dyDescent="0.25">
      <c r="A19" s="3" t="s">
        <v>1</v>
      </c>
      <c r="B19" s="18"/>
      <c r="C19" s="18"/>
      <c r="D19" s="18">
        <f t="shared" ref="D19:R19" si="18">D14+D13+D12+D11+D15+D16+D17</f>
        <v>1148077</v>
      </c>
      <c r="E19" s="18">
        <f t="shared" si="18"/>
        <v>1124245.9099999999</v>
      </c>
      <c r="F19" s="18">
        <f t="shared" si="18"/>
        <v>1138453.7230999998</v>
      </c>
      <c r="G19" s="18">
        <f t="shared" si="18"/>
        <v>1153047.0462430001</v>
      </c>
      <c r="H19" s="18">
        <f t="shared" si="18"/>
        <v>1168036.541462966</v>
      </c>
      <c r="I19" s="18">
        <f t="shared" si="18"/>
        <v>1183433.1678251429</v>
      </c>
      <c r="J19" s="18">
        <f t="shared" si="18"/>
        <v>1199248.1897242086</v>
      </c>
      <c r="K19" s="18">
        <f t="shared" si="18"/>
        <v>1215493.1854145185</v>
      </c>
      <c r="L19" s="18">
        <f t="shared" si="18"/>
        <v>1232180.0557789295</v>
      </c>
      <c r="M19" s="18">
        <f t="shared" si="18"/>
        <v>1249321.0333428842</v>
      </c>
      <c r="N19" s="18">
        <f t="shared" si="18"/>
        <v>1266928.6915406152</v>
      </c>
      <c r="O19" s="18">
        <f t="shared" si="18"/>
        <v>1285015.9542405272</v>
      </c>
      <c r="P19" s="18">
        <f t="shared" si="18"/>
        <v>1303596.1055370083</v>
      </c>
      <c r="Q19" s="18">
        <f t="shared" si="18"/>
        <v>1322682.7998161241</v>
      </c>
      <c r="R19" s="18">
        <f t="shared" si="18"/>
        <v>1342290.0721028626</v>
      </c>
    </row>
    <row r="20" spans="1:18" x14ac:dyDescent="0.25">
      <c r="A20" s="77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9"/>
    </row>
    <row r="21" spans="1:18" ht="14.25" x14ac:dyDescent="0.25">
      <c r="A21" s="26" t="s">
        <v>11</v>
      </c>
      <c r="B21" s="27">
        <v>2010</v>
      </c>
      <c r="C21" s="27">
        <v>2011</v>
      </c>
      <c r="D21" s="27">
        <v>2012</v>
      </c>
      <c r="E21" s="27" t="s">
        <v>2</v>
      </c>
      <c r="F21" s="27" t="s">
        <v>3</v>
      </c>
      <c r="G21" s="27" t="s">
        <v>4</v>
      </c>
      <c r="H21" s="27" t="s">
        <v>5</v>
      </c>
      <c r="I21" s="27" t="s">
        <v>6</v>
      </c>
      <c r="J21" s="27" t="s">
        <v>7</v>
      </c>
      <c r="K21" s="27" t="s">
        <v>8</v>
      </c>
      <c r="L21" s="27" t="s">
        <v>9</v>
      </c>
      <c r="M21" s="27" t="s">
        <v>10</v>
      </c>
      <c r="N21" s="27" t="s">
        <v>20</v>
      </c>
    </row>
    <row r="22" spans="1:18" x14ac:dyDescent="0.2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9"/>
    </row>
    <row r="23" spans="1:18" x14ac:dyDescent="0.25">
      <c r="A23" s="3" t="s">
        <v>12</v>
      </c>
      <c r="B23" s="9"/>
      <c r="C23" s="9"/>
      <c r="D23" s="9">
        <f>'[1]40'!$AC$18-'[1]40'!$U$18</f>
        <v>95314</v>
      </c>
      <c r="E23" s="10">
        <f>102048-729</f>
        <v>101319</v>
      </c>
      <c r="F23" s="10">
        <f t="shared" ref="F23:N31" si="19">(E23*2%)+E23</f>
        <v>103345.38</v>
      </c>
      <c r="G23" s="10">
        <f t="shared" si="19"/>
        <v>105412.28760000001</v>
      </c>
      <c r="H23" s="10">
        <f t="shared" si="19"/>
        <v>107520.53335200001</v>
      </c>
      <c r="I23" s="10">
        <f t="shared" si="19"/>
        <v>109670.94401904002</v>
      </c>
      <c r="J23" s="10">
        <f t="shared" si="19"/>
        <v>111864.36289942083</v>
      </c>
      <c r="K23" s="10">
        <f t="shared" si="19"/>
        <v>114101.65015740924</v>
      </c>
      <c r="L23" s="10">
        <f t="shared" si="19"/>
        <v>116383.68316055743</v>
      </c>
      <c r="M23" s="10">
        <f t="shared" si="19"/>
        <v>118711.35682376857</v>
      </c>
      <c r="N23" s="10">
        <f t="shared" si="19"/>
        <v>121085.58396024394</v>
      </c>
      <c r="O23" s="10">
        <f t="shared" ref="O23:O31" si="20">(N23*2%)+N23</f>
        <v>123507.29563944881</v>
      </c>
      <c r="P23" s="10">
        <f t="shared" ref="P23:P31" si="21">(O23*2%)+O23</f>
        <v>125977.4415522378</v>
      </c>
      <c r="Q23" s="10">
        <f t="shared" ref="Q23:Q31" si="22">(P23*2%)+P23</f>
        <v>128496.99038328255</v>
      </c>
      <c r="R23" s="10">
        <f t="shared" ref="R23:R31" si="23">(Q23*2%)+Q23</f>
        <v>131066.9301909482</v>
      </c>
    </row>
    <row r="24" spans="1:18" x14ac:dyDescent="0.25">
      <c r="A24" s="3" t="s">
        <v>104</v>
      </c>
      <c r="B24" s="9"/>
      <c r="C24" s="9"/>
      <c r="D24" s="9">
        <f>'[1]40'!$AC$31-'[1]40'!$U$31</f>
        <v>94020</v>
      </c>
      <c r="E24" s="10">
        <f>107956-11685</f>
        <v>96271</v>
      </c>
      <c r="F24" s="10">
        <f t="shared" si="19"/>
        <v>98196.42</v>
      </c>
      <c r="G24" s="10">
        <f t="shared" si="19"/>
        <v>100160.3484</v>
      </c>
      <c r="H24" s="10">
        <f t="shared" si="19"/>
        <v>102163.555368</v>
      </c>
      <c r="I24" s="10">
        <f t="shared" si="19"/>
        <v>104206.82647535999</v>
      </c>
      <c r="J24" s="10">
        <f t="shared" si="19"/>
        <v>106290.9630048672</v>
      </c>
      <c r="K24" s="10">
        <f t="shared" si="19"/>
        <v>108416.78226496454</v>
      </c>
      <c r="L24" s="10">
        <f t="shared" si="19"/>
        <v>110585.11791026383</v>
      </c>
      <c r="M24" s="10">
        <f t="shared" si="19"/>
        <v>112796.82026846911</v>
      </c>
      <c r="N24" s="10">
        <f t="shared" si="19"/>
        <v>115052.75667383849</v>
      </c>
      <c r="O24" s="10">
        <f t="shared" si="20"/>
        <v>117353.81180731526</v>
      </c>
      <c r="P24" s="10">
        <f t="shared" si="21"/>
        <v>119700.88804346156</v>
      </c>
      <c r="Q24" s="10">
        <f t="shared" si="22"/>
        <v>122094.90580433079</v>
      </c>
      <c r="R24" s="10">
        <f t="shared" si="23"/>
        <v>124536.8039204174</v>
      </c>
    </row>
    <row r="25" spans="1:18" x14ac:dyDescent="0.25">
      <c r="A25" s="3" t="s">
        <v>13</v>
      </c>
      <c r="B25" s="9"/>
      <c r="C25" s="9"/>
      <c r="D25" s="9">
        <f>'[1]40'!$AC$49-'[1]40'!$U$49</f>
        <v>223655</v>
      </c>
      <c r="E25" s="10">
        <f>348353-(38651+67931+11148+14524)</f>
        <v>216099</v>
      </c>
      <c r="F25" s="10">
        <f t="shared" si="19"/>
        <v>220420.98</v>
      </c>
      <c r="G25" s="10">
        <f t="shared" si="19"/>
        <v>224829.3996</v>
      </c>
      <c r="H25" s="10">
        <f t="shared" si="19"/>
        <v>229325.98759199999</v>
      </c>
      <c r="I25" s="10">
        <f t="shared" si="19"/>
        <v>233912.50734384</v>
      </c>
      <c r="J25" s="10">
        <f t="shared" si="19"/>
        <v>238590.75749071679</v>
      </c>
      <c r="K25" s="10">
        <f t="shared" si="19"/>
        <v>243362.57264053111</v>
      </c>
      <c r="L25" s="10">
        <f t="shared" si="19"/>
        <v>248229.82409334174</v>
      </c>
      <c r="M25" s="10">
        <f t="shared" si="19"/>
        <v>253194.42057520858</v>
      </c>
      <c r="N25" s="10">
        <f t="shared" si="19"/>
        <v>258258.30898671274</v>
      </c>
      <c r="O25" s="10">
        <f t="shared" si="20"/>
        <v>263423.47516644699</v>
      </c>
      <c r="P25" s="10">
        <f t="shared" si="21"/>
        <v>268691.94466977596</v>
      </c>
      <c r="Q25" s="10">
        <f t="shared" si="22"/>
        <v>274065.78356317146</v>
      </c>
      <c r="R25" s="10">
        <f t="shared" si="23"/>
        <v>279547.09923443489</v>
      </c>
    </row>
    <row r="26" spans="1:18" x14ac:dyDescent="0.25">
      <c r="A26" s="3" t="s">
        <v>14</v>
      </c>
      <c r="B26" s="9"/>
      <c r="C26" s="9"/>
      <c r="D26" s="9">
        <f>'[1]40'!$AC$65</f>
        <v>95454</v>
      </c>
      <c r="E26" s="10">
        <v>93907</v>
      </c>
      <c r="F26" s="10">
        <f t="shared" si="19"/>
        <v>95785.14</v>
      </c>
      <c r="G26" s="10">
        <f t="shared" si="19"/>
        <v>97700.842799999999</v>
      </c>
      <c r="H26" s="10">
        <f t="shared" si="19"/>
        <v>99654.859656000001</v>
      </c>
      <c r="I26" s="10">
        <f t="shared" si="19"/>
        <v>101647.95684912</v>
      </c>
      <c r="J26" s="10">
        <f t="shared" si="19"/>
        <v>103680.91598610241</v>
      </c>
      <c r="K26" s="10">
        <f t="shared" si="19"/>
        <v>105754.53430582446</v>
      </c>
      <c r="L26" s="10">
        <f t="shared" si="19"/>
        <v>107869.62499194095</v>
      </c>
      <c r="M26" s="10">
        <f t="shared" si="19"/>
        <v>110027.01749177977</v>
      </c>
      <c r="N26" s="10">
        <f t="shared" si="19"/>
        <v>112227.55784161537</v>
      </c>
      <c r="O26" s="10">
        <f t="shared" si="20"/>
        <v>114472.10899844769</v>
      </c>
      <c r="P26" s="10">
        <f t="shared" si="21"/>
        <v>116761.55117841664</v>
      </c>
      <c r="Q26" s="10">
        <f t="shared" si="22"/>
        <v>119096.78220198498</v>
      </c>
      <c r="R26" s="10">
        <f t="shared" si="23"/>
        <v>121478.71784602468</v>
      </c>
    </row>
    <row r="27" spans="1:18" x14ac:dyDescent="0.25">
      <c r="A27" s="3" t="s">
        <v>15</v>
      </c>
      <c r="B27" s="9"/>
      <c r="C27" s="9"/>
      <c r="D27" s="9">
        <f>'[1]40'!$AC$74</f>
        <v>165239</v>
      </c>
      <c r="E27" s="10">
        <v>170023</v>
      </c>
      <c r="F27" s="10">
        <f t="shared" si="19"/>
        <v>173423.46</v>
      </c>
      <c r="G27" s="10">
        <f t="shared" si="19"/>
        <v>176891.92919999998</v>
      </c>
      <c r="H27" s="10">
        <f t="shared" si="19"/>
        <v>180429.767784</v>
      </c>
      <c r="I27" s="10">
        <f t="shared" si="19"/>
        <v>184038.36313968</v>
      </c>
      <c r="J27" s="10">
        <f t="shared" si="19"/>
        <v>187719.13040247362</v>
      </c>
      <c r="K27" s="10">
        <f t="shared" si="19"/>
        <v>191473.51301052308</v>
      </c>
      <c r="L27" s="10">
        <f t="shared" si="19"/>
        <v>195302.98327073353</v>
      </c>
      <c r="M27" s="10">
        <f t="shared" si="19"/>
        <v>199209.04293614821</v>
      </c>
      <c r="N27" s="10">
        <f t="shared" si="19"/>
        <v>203193.22379487118</v>
      </c>
      <c r="O27" s="10">
        <f t="shared" si="20"/>
        <v>207257.08827076861</v>
      </c>
      <c r="P27" s="10">
        <f t="shared" si="21"/>
        <v>211402.23003618399</v>
      </c>
      <c r="Q27" s="10">
        <f t="shared" si="22"/>
        <v>215630.27463690768</v>
      </c>
      <c r="R27" s="10">
        <f t="shared" si="23"/>
        <v>219942.88012964584</v>
      </c>
    </row>
    <row r="28" spans="1:18" x14ac:dyDescent="0.25">
      <c r="A28" s="3" t="s">
        <v>16</v>
      </c>
      <c r="B28" s="9"/>
      <c r="C28" s="9"/>
      <c r="D28" s="9">
        <f>'[1]40'!$AC$81</f>
        <v>74430</v>
      </c>
      <c r="E28" s="10">
        <v>51077</v>
      </c>
      <c r="F28" s="10">
        <f t="shared" si="19"/>
        <v>52098.54</v>
      </c>
      <c r="G28" s="10">
        <f t="shared" si="19"/>
        <v>53140.510800000004</v>
      </c>
      <c r="H28" s="10">
        <f t="shared" si="19"/>
        <v>54203.321016000002</v>
      </c>
      <c r="I28" s="10">
        <f t="shared" si="19"/>
        <v>55287.387436320001</v>
      </c>
      <c r="J28" s="10">
        <f t="shared" si="19"/>
        <v>56393.135185046398</v>
      </c>
      <c r="K28" s="10">
        <f t="shared" si="19"/>
        <v>57520.997888747326</v>
      </c>
      <c r="L28" s="10">
        <f t="shared" si="19"/>
        <v>58671.417846522272</v>
      </c>
      <c r="M28" s="10">
        <f t="shared" si="19"/>
        <v>59844.846203452718</v>
      </c>
      <c r="N28" s="10">
        <f t="shared" si="19"/>
        <v>61041.743127521775</v>
      </c>
      <c r="O28" s="10">
        <f t="shared" si="20"/>
        <v>62262.577990072212</v>
      </c>
      <c r="P28" s="10">
        <f t="shared" si="21"/>
        <v>63507.829549873655</v>
      </c>
      <c r="Q28" s="10">
        <f t="shared" si="22"/>
        <v>64777.986140871129</v>
      </c>
      <c r="R28" s="10">
        <f t="shared" si="23"/>
        <v>66073.545863688545</v>
      </c>
    </row>
    <row r="29" spans="1:18" x14ac:dyDescent="0.25">
      <c r="A29" s="3" t="s">
        <v>105</v>
      </c>
      <c r="B29" s="9"/>
      <c r="C29" s="9"/>
      <c r="D29" s="9">
        <f>'[1]40'!$AC$89</f>
        <v>87867</v>
      </c>
      <c r="E29" s="10">
        <v>87693</v>
      </c>
      <c r="F29" s="10">
        <f t="shared" si="19"/>
        <v>89446.86</v>
      </c>
      <c r="G29" s="10">
        <f t="shared" si="19"/>
        <v>91235.797200000001</v>
      </c>
      <c r="H29" s="10">
        <f t="shared" si="19"/>
        <v>93060.513143999997</v>
      </c>
      <c r="I29" s="10">
        <f t="shared" si="19"/>
        <v>94921.723406880003</v>
      </c>
      <c r="J29" s="10">
        <f t="shared" si="19"/>
        <v>96820.157875017598</v>
      </c>
      <c r="K29" s="10">
        <f t="shared" si="19"/>
        <v>98756.561032517944</v>
      </c>
      <c r="L29" s="10">
        <f t="shared" si="19"/>
        <v>100731.69225316831</v>
      </c>
      <c r="M29" s="10">
        <f t="shared" si="19"/>
        <v>102746.32609823167</v>
      </c>
      <c r="N29" s="10">
        <f t="shared" si="19"/>
        <v>104801.2526201963</v>
      </c>
      <c r="O29" s="10">
        <f t="shared" si="20"/>
        <v>106897.27767260023</v>
      </c>
      <c r="P29" s="10">
        <f t="shared" si="21"/>
        <v>109035.22322605224</v>
      </c>
      <c r="Q29" s="10">
        <f t="shared" si="22"/>
        <v>111215.92769057328</v>
      </c>
      <c r="R29" s="10">
        <f t="shared" si="23"/>
        <v>113440.24624438475</v>
      </c>
    </row>
    <row r="30" spans="1:18" x14ac:dyDescent="0.25">
      <c r="A30" s="3" t="s">
        <v>17</v>
      </c>
      <c r="B30" s="9"/>
      <c r="C30" s="9"/>
      <c r="D30" s="9">
        <f>'[1]40'!$AC$101-'[1]40'!$U$101</f>
        <v>48343</v>
      </c>
      <c r="E30" s="10">
        <f>79704-27545</f>
        <v>52159</v>
      </c>
      <c r="F30" s="10">
        <f t="shared" si="19"/>
        <v>53202.18</v>
      </c>
      <c r="G30" s="10">
        <f t="shared" si="19"/>
        <v>54266.223599999998</v>
      </c>
      <c r="H30" s="10">
        <f t="shared" si="19"/>
        <v>55351.548071999998</v>
      </c>
      <c r="I30" s="10">
        <f t="shared" si="19"/>
        <v>56458.579033440001</v>
      </c>
      <c r="J30" s="10">
        <f t="shared" si="19"/>
        <v>57587.750614108802</v>
      </c>
      <c r="K30" s="10">
        <f t="shared" si="19"/>
        <v>58739.505626390979</v>
      </c>
      <c r="L30" s="10">
        <f t="shared" si="19"/>
        <v>59914.295738918801</v>
      </c>
      <c r="M30" s="10">
        <f t="shared" si="19"/>
        <v>61112.581653697176</v>
      </c>
      <c r="N30" s="10">
        <f t="shared" si="19"/>
        <v>62334.833286771121</v>
      </c>
      <c r="O30" s="10">
        <f t="shared" si="20"/>
        <v>63581.529952506542</v>
      </c>
      <c r="P30" s="10">
        <f t="shared" si="21"/>
        <v>64853.16055155667</v>
      </c>
      <c r="Q30" s="10">
        <f t="shared" si="22"/>
        <v>66150.223762587804</v>
      </c>
      <c r="R30" s="10">
        <f t="shared" si="23"/>
        <v>67473.228237839561</v>
      </c>
    </row>
    <row r="31" spans="1:18" x14ac:dyDescent="0.25">
      <c r="A31" s="3" t="s">
        <v>18</v>
      </c>
      <c r="B31" s="9"/>
      <c r="C31" s="9"/>
      <c r="D31" s="9">
        <f>'[1]40'!$AC$110</f>
        <v>7782</v>
      </c>
      <c r="E31" s="10">
        <f t="shared" ref="E31" si="24">(D31*2%)+D31</f>
        <v>7937.64</v>
      </c>
      <c r="F31" s="10">
        <f t="shared" si="19"/>
        <v>8096.3928000000005</v>
      </c>
      <c r="G31" s="10">
        <f t="shared" si="19"/>
        <v>8258.3206559999999</v>
      </c>
      <c r="H31" s="10">
        <f t="shared" si="19"/>
        <v>8423.4870691199994</v>
      </c>
      <c r="I31" s="10">
        <f t="shared" si="19"/>
        <v>8591.9568105023991</v>
      </c>
      <c r="J31" s="10">
        <f t="shared" si="19"/>
        <v>8763.7959467124474</v>
      </c>
      <c r="K31" s="10">
        <f t="shared" si="19"/>
        <v>8939.0718656466961</v>
      </c>
      <c r="L31" s="10">
        <f t="shared" si="19"/>
        <v>9117.8533029596292</v>
      </c>
      <c r="M31" s="10">
        <f t="shared" si="19"/>
        <v>9300.2103690188214</v>
      </c>
      <c r="N31" s="10">
        <f t="shared" si="19"/>
        <v>9486.2145763991975</v>
      </c>
      <c r="O31" s="10">
        <f t="shared" si="20"/>
        <v>9675.9388679271815</v>
      </c>
      <c r="P31" s="10">
        <f t="shared" si="21"/>
        <v>9869.4576452857254</v>
      </c>
      <c r="Q31" s="10">
        <f t="shared" si="22"/>
        <v>10066.84679819144</v>
      </c>
      <c r="R31" s="10">
        <f t="shared" si="23"/>
        <v>10268.183734155269</v>
      </c>
    </row>
    <row r="32" spans="1:18" x14ac:dyDescent="0.25">
      <c r="A32" s="13"/>
      <c r="B32" s="9"/>
      <c r="C32" s="9"/>
      <c r="D32" s="9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3" t="s">
        <v>106</v>
      </c>
      <c r="B33" s="18"/>
      <c r="C33" s="18"/>
      <c r="D33" s="18">
        <f>SUM(D23:D31)</f>
        <v>892104</v>
      </c>
      <c r="E33" s="18">
        <f>SUM(E23:E31)</f>
        <v>876485.64</v>
      </c>
      <c r="F33" s="18">
        <f t="shared" ref="F33:N33" si="25">SUM(F23:F31)</f>
        <v>894015.35280000011</v>
      </c>
      <c r="G33" s="18">
        <f t="shared" si="25"/>
        <v>911895.65985600022</v>
      </c>
      <c r="H33" s="18">
        <f t="shared" si="25"/>
        <v>930133.57305312005</v>
      </c>
      <c r="I33" s="18">
        <f t="shared" si="25"/>
        <v>948736.24451418244</v>
      </c>
      <c r="J33" s="18">
        <f t="shared" si="25"/>
        <v>967710.9694044661</v>
      </c>
      <c r="K33" s="18">
        <f t="shared" si="25"/>
        <v>987065.18879255548</v>
      </c>
      <c r="L33" s="18">
        <f t="shared" si="25"/>
        <v>1006806.4925684064</v>
      </c>
      <c r="M33" s="18">
        <f t="shared" si="25"/>
        <v>1026942.6224197746</v>
      </c>
      <c r="N33" s="18">
        <f t="shared" si="25"/>
        <v>1047481.4748681701</v>
      </c>
      <c r="O33" s="18">
        <f t="shared" ref="O33:R33" si="26">SUM(O23:O31)</f>
        <v>1068431.1043655337</v>
      </c>
      <c r="P33" s="18">
        <f t="shared" si="26"/>
        <v>1089799.7264528442</v>
      </c>
      <c r="Q33" s="18">
        <f t="shared" si="26"/>
        <v>1111595.7209819013</v>
      </c>
      <c r="R33" s="18">
        <f t="shared" si="26"/>
        <v>1133827.6354015393</v>
      </c>
    </row>
    <row r="34" spans="1:18" x14ac:dyDescent="0.25">
      <c r="A34" s="77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</row>
    <row r="35" spans="1:18" ht="15" x14ac:dyDescent="0.25">
      <c r="A35" s="3" t="s">
        <v>107</v>
      </c>
      <c r="B35" s="14"/>
      <c r="C35" s="14"/>
      <c r="D35" s="28">
        <f>'[1]40'!$U$117</f>
        <v>175794</v>
      </c>
      <c r="E35" s="10">
        <f>(D35*2%)+D35</f>
        <v>179309.88</v>
      </c>
      <c r="F35" s="10">
        <f t="shared" ref="F35:N35" si="27">(E35*2%)+E35</f>
        <v>182896.07760000002</v>
      </c>
      <c r="G35" s="10">
        <f t="shared" si="27"/>
        <v>186553.99915200003</v>
      </c>
      <c r="H35" s="10">
        <f t="shared" si="27"/>
        <v>190285.07913504002</v>
      </c>
      <c r="I35" s="10">
        <f t="shared" si="27"/>
        <v>194090.78071774082</v>
      </c>
      <c r="J35" s="10">
        <f t="shared" si="27"/>
        <v>197972.59633209565</v>
      </c>
      <c r="K35" s="10">
        <f t="shared" si="27"/>
        <v>201932.04825873757</v>
      </c>
      <c r="L35" s="10">
        <f t="shared" si="27"/>
        <v>205970.68922391231</v>
      </c>
      <c r="M35" s="10">
        <f t="shared" si="27"/>
        <v>210090.10300839055</v>
      </c>
      <c r="N35" s="10">
        <f t="shared" si="27"/>
        <v>214291.90506855835</v>
      </c>
      <c r="O35" s="10">
        <f t="shared" ref="O35" si="28">(N35*2%)+N35</f>
        <v>218577.74316992951</v>
      </c>
      <c r="P35" s="10">
        <f t="shared" ref="P35" si="29">(O35*2%)+O35</f>
        <v>222949.29803332812</v>
      </c>
      <c r="Q35" s="10">
        <f t="shared" ref="Q35" si="30">(P35*2%)+P35</f>
        <v>227408.28399399467</v>
      </c>
      <c r="R35" s="10">
        <f t="shared" ref="R35" si="31">(Q35*2%)+Q35</f>
        <v>231956.44967387457</v>
      </c>
    </row>
    <row r="36" spans="1:18" x14ac:dyDescent="0.25">
      <c r="O36" s="7"/>
      <c r="P36" s="7"/>
      <c r="Q36" s="7"/>
      <c r="R36" s="7"/>
    </row>
    <row r="37" spans="1:18" ht="15" x14ac:dyDescent="0.25">
      <c r="A37" s="3" t="s">
        <v>108</v>
      </c>
      <c r="B37" s="14"/>
      <c r="C37" s="14"/>
      <c r="D37" s="28">
        <f>D33+D35</f>
        <v>1067898</v>
      </c>
      <c r="E37" s="28">
        <f t="shared" ref="E37:N37" si="32">E33+E35</f>
        <v>1055795.52</v>
      </c>
      <c r="F37" s="28">
        <f t="shared" si="32"/>
        <v>1076911.4304000002</v>
      </c>
      <c r="G37" s="28">
        <f t="shared" si="32"/>
        <v>1098449.6590080003</v>
      </c>
      <c r="H37" s="28">
        <f t="shared" si="32"/>
        <v>1120418.65218816</v>
      </c>
      <c r="I37" s="28">
        <f t="shared" si="32"/>
        <v>1142827.0252319232</v>
      </c>
      <c r="J37" s="28">
        <f t="shared" si="32"/>
        <v>1165683.5657365618</v>
      </c>
      <c r="K37" s="28">
        <f t="shared" si="32"/>
        <v>1188997.237051293</v>
      </c>
      <c r="L37" s="28">
        <f t="shared" si="32"/>
        <v>1212777.1817923188</v>
      </c>
      <c r="M37" s="28">
        <f t="shared" si="32"/>
        <v>1237032.7254281652</v>
      </c>
      <c r="N37" s="28">
        <f t="shared" si="32"/>
        <v>1261773.3799367284</v>
      </c>
      <c r="O37" s="28">
        <f t="shared" ref="O37:R37" si="33">O33+O35</f>
        <v>1287008.8475354633</v>
      </c>
      <c r="P37" s="28">
        <f t="shared" si="33"/>
        <v>1312749.0244861722</v>
      </c>
      <c r="Q37" s="28">
        <f t="shared" si="33"/>
        <v>1339004.0049758959</v>
      </c>
      <c r="R37" s="28">
        <f t="shared" si="33"/>
        <v>1365784.0850754138</v>
      </c>
    </row>
    <row r="38" spans="1:18" x14ac:dyDescent="0.25">
      <c r="O38" s="7"/>
      <c r="P38" s="7"/>
      <c r="Q38" s="7"/>
      <c r="R38" s="7"/>
    </row>
    <row r="39" spans="1:18" x14ac:dyDescent="0.25">
      <c r="A39" s="3" t="s">
        <v>53</v>
      </c>
      <c r="B39" s="18"/>
      <c r="C39" s="18"/>
      <c r="D39" s="28">
        <f t="shared" ref="D39:N39" si="34">+D19-D37</f>
        <v>80179</v>
      </c>
      <c r="E39" s="28">
        <f t="shared" si="34"/>
        <v>68450.389999999898</v>
      </c>
      <c r="F39" s="28">
        <f t="shared" si="34"/>
        <v>61542.292699999642</v>
      </c>
      <c r="G39" s="28">
        <f t="shared" si="34"/>
        <v>54597.387234999798</v>
      </c>
      <c r="H39" s="28">
        <f t="shared" si="34"/>
        <v>47617.889274806017</v>
      </c>
      <c r="I39" s="28">
        <f t="shared" si="34"/>
        <v>40606.142593219643</v>
      </c>
      <c r="J39" s="28">
        <f t="shared" si="34"/>
        <v>33564.623987646773</v>
      </c>
      <c r="K39" s="28">
        <f t="shared" si="34"/>
        <v>26495.948363225441</v>
      </c>
      <c r="L39" s="28">
        <f t="shared" si="34"/>
        <v>19402.873986610677</v>
      </c>
      <c r="M39" s="28">
        <f t="shared" si="34"/>
        <v>12288.307914718986</v>
      </c>
      <c r="N39" s="28">
        <f t="shared" si="34"/>
        <v>5155.3116038867738</v>
      </c>
      <c r="O39" s="28">
        <f t="shared" ref="O39:R39" si="35">+O19-O37</f>
        <v>-1992.893294936046</v>
      </c>
      <c r="P39" s="28">
        <f t="shared" si="35"/>
        <v>-9152.9189491639845</v>
      </c>
      <c r="Q39" s="28">
        <f t="shared" si="35"/>
        <v>-16321.205159771722</v>
      </c>
      <c r="R39" s="28">
        <f t="shared" si="35"/>
        <v>-23494.012972551165</v>
      </c>
    </row>
    <row r="40" spans="1:18" ht="13.5" thickBot="1" x14ac:dyDescent="0.3">
      <c r="A40" s="29"/>
      <c r="B40" s="30"/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</row>
    <row r="41" spans="1:18" x14ac:dyDescent="0.25">
      <c r="A41" s="32" t="s">
        <v>109</v>
      </c>
      <c r="B41" s="33"/>
      <c r="C41" s="33"/>
      <c r="D41" s="34">
        <f t="shared" ref="D41:N41" si="36">D19-D33</f>
        <v>255973</v>
      </c>
      <c r="E41" s="34">
        <f t="shared" si="36"/>
        <v>247760.2699999999</v>
      </c>
      <c r="F41" s="34">
        <f t="shared" si="36"/>
        <v>244438.37029999972</v>
      </c>
      <c r="G41" s="34">
        <f t="shared" si="36"/>
        <v>241151.38638699986</v>
      </c>
      <c r="H41" s="34">
        <f t="shared" si="36"/>
        <v>237902.96840984595</v>
      </c>
      <c r="I41" s="34">
        <f t="shared" si="36"/>
        <v>234696.92331096041</v>
      </c>
      <c r="J41" s="34">
        <f t="shared" si="36"/>
        <v>231537.22031974245</v>
      </c>
      <c r="K41" s="34">
        <f t="shared" si="36"/>
        <v>228427.99662196299</v>
      </c>
      <c r="L41" s="34">
        <f t="shared" si="36"/>
        <v>225373.56321052311</v>
      </c>
      <c r="M41" s="34">
        <f t="shared" si="36"/>
        <v>222378.41092310951</v>
      </c>
      <c r="N41" s="34">
        <f t="shared" si="36"/>
        <v>219447.21667244507</v>
      </c>
      <c r="O41" s="34">
        <f t="shared" ref="O41:R41" si="37">O19-O33</f>
        <v>216584.84987499355</v>
      </c>
      <c r="P41" s="34">
        <f t="shared" si="37"/>
        <v>213796.37908416404</v>
      </c>
      <c r="Q41" s="34">
        <f t="shared" si="37"/>
        <v>211087.07883422286</v>
      </c>
      <c r="R41" s="34">
        <f t="shared" si="37"/>
        <v>208462.43670132337</v>
      </c>
    </row>
    <row r="42" spans="1:18" x14ac:dyDescent="0.25">
      <c r="A42" s="35" t="s">
        <v>110</v>
      </c>
      <c r="B42" s="30"/>
      <c r="C42" s="30"/>
      <c r="D42" s="31">
        <v>19000</v>
      </c>
      <c r="E42" s="31">
        <v>19000</v>
      </c>
      <c r="F42" s="31">
        <v>19000</v>
      </c>
      <c r="G42" s="31">
        <v>19000</v>
      </c>
      <c r="H42" s="31">
        <v>19000</v>
      </c>
      <c r="I42" s="31">
        <v>19000</v>
      </c>
      <c r="J42" s="31">
        <v>19000</v>
      </c>
      <c r="K42" s="31">
        <v>19000</v>
      </c>
      <c r="L42" s="31">
        <v>19000</v>
      </c>
      <c r="M42" s="31">
        <v>19000</v>
      </c>
      <c r="N42" s="31">
        <v>19000</v>
      </c>
      <c r="O42" s="31">
        <v>19000</v>
      </c>
      <c r="P42" s="31">
        <v>19000</v>
      </c>
      <c r="Q42" s="31">
        <v>19000</v>
      </c>
      <c r="R42" s="31">
        <v>19000</v>
      </c>
    </row>
    <row r="43" spans="1:18" ht="13.5" thickBot="1" x14ac:dyDescent="0.3">
      <c r="A43" s="36" t="s">
        <v>111</v>
      </c>
      <c r="B43" s="37"/>
      <c r="C43" s="37"/>
      <c r="D43" s="38">
        <f>D42+D41</f>
        <v>274973</v>
      </c>
      <c r="E43" s="38">
        <f t="shared" ref="E43:N43" si="38">E42+E41</f>
        <v>266760.2699999999</v>
      </c>
      <c r="F43" s="38">
        <f t="shared" si="38"/>
        <v>263438.37029999972</v>
      </c>
      <c r="G43" s="38">
        <f t="shared" si="38"/>
        <v>260151.38638699986</v>
      </c>
      <c r="H43" s="38">
        <f t="shared" si="38"/>
        <v>256902.96840984595</v>
      </c>
      <c r="I43" s="38">
        <f t="shared" si="38"/>
        <v>253696.92331096041</v>
      </c>
      <c r="J43" s="38">
        <f t="shared" si="38"/>
        <v>250537.22031974245</v>
      </c>
      <c r="K43" s="38">
        <f t="shared" si="38"/>
        <v>247427.99662196299</v>
      </c>
      <c r="L43" s="38">
        <f t="shared" si="38"/>
        <v>244373.56321052311</v>
      </c>
      <c r="M43" s="38">
        <f t="shared" si="38"/>
        <v>241378.41092310951</v>
      </c>
      <c r="N43" s="38">
        <f t="shared" si="38"/>
        <v>238447.21667244507</v>
      </c>
      <c r="O43" s="38">
        <f t="shared" ref="O43:R43" si="39">O42+O41</f>
        <v>235584.84987499355</v>
      </c>
      <c r="P43" s="38">
        <f t="shared" si="39"/>
        <v>232796.37908416404</v>
      </c>
      <c r="Q43" s="38">
        <f t="shared" si="39"/>
        <v>230087.07883422286</v>
      </c>
      <c r="R43" s="38">
        <f t="shared" si="39"/>
        <v>227462.43670132337</v>
      </c>
    </row>
    <row r="44" spans="1:18" x14ac:dyDescent="0.25">
      <c r="A44" s="29"/>
      <c r="B44" s="30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</row>
    <row r="45" spans="1:18" ht="15.75" thickBot="1" x14ac:dyDescent="0.3">
      <c r="A45" s="73" t="s">
        <v>112</v>
      </c>
    </row>
    <row r="46" spans="1:18" ht="15.75" x14ac:dyDescent="0.25">
      <c r="A46" s="39"/>
      <c r="B46" s="40">
        <v>2010</v>
      </c>
      <c r="C46" s="40">
        <v>2011</v>
      </c>
      <c r="D46" s="40">
        <v>2012</v>
      </c>
      <c r="E46" s="40" t="s">
        <v>2</v>
      </c>
      <c r="F46" s="40" t="s">
        <v>3</v>
      </c>
      <c r="G46" s="40" t="s">
        <v>4</v>
      </c>
      <c r="H46" s="40" t="s">
        <v>5</v>
      </c>
      <c r="I46" s="40" t="s">
        <v>6</v>
      </c>
      <c r="J46" s="40" t="s">
        <v>7</v>
      </c>
      <c r="K46" s="40" t="s">
        <v>8</v>
      </c>
      <c r="L46" s="40" t="s">
        <v>9</v>
      </c>
      <c r="M46" s="40" t="s">
        <v>10</v>
      </c>
      <c r="N46" s="40" t="s">
        <v>20</v>
      </c>
    </row>
    <row r="47" spans="1:18" x14ac:dyDescent="0.2">
      <c r="A47" s="41" t="s">
        <v>1</v>
      </c>
      <c r="B47" s="12"/>
      <c r="C47" s="12"/>
      <c r="D47" s="12"/>
      <c r="E47" s="42">
        <f t="shared" ref="E47:N47" si="40">+E19</f>
        <v>1124245.9099999999</v>
      </c>
      <c r="F47" s="42">
        <f t="shared" si="40"/>
        <v>1138453.7230999998</v>
      </c>
      <c r="G47" s="42">
        <f t="shared" si="40"/>
        <v>1153047.0462430001</v>
      </c>
      <c r="H47" s="42">
        <f t="shared" si="40"/>
        <v>1168036.541462966</v>
      </c>
      <c r="I47" s="42">
        <f t="shared" si="40"/>
        <v>1183433.1678251429</v>
      </c>
      <c r="J47" s="42">
        <f t="shared" si="40"/>
        <v>1199248.1897242086</v>
      </c>
      <c r="K47" s="42">
        <f t="shared" si="40"/>
        <v>1215493.1854145185</v>
      </c>
      <c r="L47" s="42">
        <f t="shared" si="40"/>
        <v>1232180.0557789295</v>
      </c>
      <c r="M47" s="42">
        <f t="shared" si="40"/>
        <v>1249321.0333428842</v>
      </c>
      <c r="N47" s="42">
        <f t="shared" si="40"/>
        <v>1266928.6915406152</v>
      </c>
      <c r="O47" s="42">
        <f t="shared" ref="O47:R47" si="41">+O19</f>
        <v>1285015.9542405272</v>
      </c>
      <c r="P47" s="42">
        <f t="shared" si="41"/>
        <v>1303596.1055370083</v>
      </c>
      <c r="Q47" s="42">
        <f t="shared" si="41"/>
        <v>1322682.7998161241</v>
      </c>
      <c r="R47" s="42">
        <f t="shared" si="41"/>
        <v>1342290.0721028626</v>
      </c>
    </row>
    <row r="48" spans="1:18" x14ac:dyDescent="0.2">
      <c r="A48" s="43"/>
      <c r="B48" s="12"/>
      <c r="C48" s="12"/>
      <c r="D48" s="1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</row>
    <row r="49" spans="1:18" x14ac:dyDescent="0.2">
      <c r="A49" s="41" t="s">
        <v>113</v>
      </c>
      <c r="B49" s="12"/>
      <c r="C49" s="12"/>
      <c r="D49" s="1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</row>
    <row r="50" spans="1:18" x14ac:dyDescent="0.2">
      <c r="A50" s="43" t="s">
        <v>114</v>
      </c>
      <c r="B50" s="12"/>
      <c r="C50" s="12"/>
      <c r="D50" s="12"/>
      <c r="E50" s="42">
        <f>+E33</f>
        <v>876485.64</v>
      </c>
      <c r="F50" s="42">
        <f t="shared" ref="F50:N50" si="42">+F33</f>
        <v>894015.35280000011</v>
      </c>
      <c r="G50" s="42">
        <f t="shared" si="42"/>
        <v>911895.65985600022</v>
      </c>
      <c r="H50" s="42">
        <f t="shared" si="42"/>
        <v>930133.57305312005</v>
      </c>
      <c r="I50" s="42">
        <f t="shared" si="42"/>
        <v>948736.24451418244</v>
      </c>
      <c r="J50" s="42">
        <f t="shared" si="42"/>
        <v>967710.9694044661</v>
      </c>
      <c r="K50" s="42">
        <f t="shared" si="42"/>
        <v>987065.18879255548</v>
      </c>
      <c r="L50" s="42">
        <f t="shared" si="42"/>
        <v>1006806.4925684064</v>
      </c>
      <c r="M50" s="42">
        <f t="shared" si="42"/>
        <v>1026942.6224197746</v>
      </c>
      <c r="N50" s="42">
        <f t="shared" si="42"/>
        <v>1047481.4748681701</v>
      </c>
      <c r="O50" s="42">
        <f t="shared" ref="O50:R50" si="43">+O33</f>
        <v>1068431.1043655337</v>
      </c>
      <c r="P50" s="42">
        <f t="shared" si="43"/>
        <v>1089799.7264528442</v>
      </c>
      <c r="Q50" s="42">
        <f t="shared" si="43"/>
        <v>1111595.7209819013</v>
      </c>
      <c r="R50" s="42">
        <f t="shared" si="43"/>
        <v>1133827.6354015393</v>
      </c>
    </row>
    <row r="51" spans="1:18" x14ac:dyDescent="0.2">
      <c r="A51" s="43" t="s">
        <v>115</v>
      </c>
      <c r="B51" s="12"/>
      <c r="C51" s="12"/>
      <c r="D51" s="1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</row>
    <row r="52" spans="1:18" ht="25.5" x14ac:dyDescent="0.2">
      <c r="A52" s="44" t="s">
        <v>116</v>
      </c>
      <c r="B52" s="12"/>
      <c r="C52" s="12"/>
      <c r="D52" s="12"/>
      <c r="E52" s="70">
        <f>+E47-E50</f>
        <v>247760.2699999999</v>
      </c>
      <c r="F52" s="70">
        <f t="shared" ref="F52:N52" si="44">+F47-F50</f>
        <v>244438.37029999972</v>
      </c>
      <c r="G52" s="70">
        <f t="shared" si="44"/>
        <v>241151.38638699986</v>
      </c>
      <c r="H52" s="70">
        <f t="shared" si="44"/>
        <v>237902.96840984595</v>
      </c>
      <c r="I52" s="70">
        <f t="shared" si="44"/>
        <v>234696.92331096041</v>
      </c>
      <c r="J52" s="70">
        <f t="shared" si="44"/>
        <v>231537.22031974245</v>
      </c>
      <c r="K52" s="70">
        <f t="shared" si="44"/>
        <v>228427.99662196299</v>
      </c>
      <c r="L52" s="70">
        <f t="shared" si="44"/>
        <v>225373.56321052311</v>
      </c>
      <c r="M52" s="70">
        <f t="shared" si="44"/>
        <v>222378.41092310951</v>
      </c>
      <c r="N52" s="70">
        <f t="shared" si="44"/>
        <v>219447.21667244507</v>
      </c>
      <c r="O52" s="70">
        <f t="shared" ref="O52:R52" si="45">+O47-O50</f>
        <v>216584.84987499355</v>
      </c>
      <c r="P52" s="70">
        <f t="shared" si="45"/>
        <v>213796.37908416404</v>
      </c>
      <c r="Q52" s="70">
        <f t="shared" si="45"/>
        <v>211087.07883422286</v>
      </c>
      <c r="R52" s="70">
        <f t="shared" si="45"/>
        <v>208462.43670132337</v>
      </c>
    </row>
    <row r="53" spans="1:18" x14ac:dyDescent="0.2">
      <c r="A53" s="43"/>
      <c r="B53" s="12"/>
      <c r="C53" s="12"/>
      <c r="D53" s="1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</row>
    <row r="54" spans="1:18" x14ac:dyDescent="0.2">
      <c r="A54" s="41" t="s">
        <v>117</v>
      </c>
      <c r="B54" s="12"/>
      <c r="C54" s="12"/>
      <c r="D54" s="1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</row>
    <row r="55" spans="1:18" x14ac:dyDescent="0.2">
      <c r="A55" s="43" t="s">
        <v>118</v>
      </c>
      <c r="B55" s="12"/>
      <c r="C55" s="12"/>
      <c r="D55" s="12"/>
      <c r="E55" s="42">
        <f>'Capital Plan'!B15</f>
        <v>347017.57</v>
      </c>
      <c r="F55" s="42">
        <f>'Capital Plan'!C15</f>
        <v>431906.27040000004</v>
      </c>
      <c r="G55" s="42">
        <f>'Capital Plan'!D15</f>
        <v>697251.6</v>
      </c>
      <c r="H55" s="42">
        <f>'Capital Plan'!E15</f>
        <v>338008.62</v>
      </c>
      <c r="I55" s="42">
        <f>'Capital Plan'!F15</f>
        <v>421744.5</v>
      </c>
      <c r="J55" s="42">
        <f>'Capital Plan'!G15</f>
        <v>525552.87839999993</v>
      </c>
      <c r="K55" s="42">
        <f>'Capital Plan'!H15</f>
        <v>53892.72</v>
      </c>
      <c r="L55" s="42">
        <f>'Capital Plan'!I15</f>
        <v>409251.78479999996</v>
      </c>
      <c r="M55" s="42">
        <f>'Capital Plan'!J15</f>
        <v>593082.84539999999</v>
      </c>
      <c r="N55" s="42">
        <f>'Capital Plan'!K15</f>
        <v>402453.495</v>
      </c>
      <c r="O55" s="42">
        <f>'Capital Plan'!L15</f>
        <v>0</v>
      </c>
      <c r="P55" s="42">
        <f>'Capital Plan'!M15</f>
        <v>0</v>
      </c>
      <c r="Q55" s="42">
        <f>'Capital Plan'!N15</f>
        <v>0</v>
      </c>
      <c r="R55" s="42">
        <f>'Capital Plan'!O15</f>
        <v>0</v>
      </c>
    </row>
    <row r="56" spans="1:18" x14ac:dyDescent="0.2">
      <c r="A56" s="43"/>
      <c r="B56" s="12"/>
      <c r="C56" s="12"/>
      <c r="D56" s="12"/>
      <c r="E56" s="4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spans="1:18" x14ac:dyDescent="0.2">
      <c r="A57" s="41" t="s">
        <v>119</v>
      </c>
      <c r="B57" s="12"/>
      <c r="C57" s="12"/>
      <c r="D57" s="12"/>
      <c r="E57" s="4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spans="1:18" x14ac:dyDescent="0.2">
      <c r="A58" s="43" t="s">
        <v>120</v>
      </c>
      <c r="B58" s="12"/>
      <c r="C58" s="12"/>
      <c r="D58" s="12"/>
      <c r="E58" s="4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spans="1:18" x14ac:dyDescent="0.2">
      <c r="A59" s="43" t="s">
        <v>121</v>
      </c>
      <c r="B59" s="12"/>
      <c r="C59" s="12"/>
      <c r="D59" s="42">
        <v>19000</v>
      </c>
      <c r="E59" s="42">
        <v>19000</v>
      </c>
      <c r="F59" s="42">
        <v>19000</v>
      </c>
      <c r="G59" s="42">
        <v>19000</v>
      </c>
      <c r="H59" s="42">
        <v>19000</v>
      </c>
      <c r="I59" s="42">
        <v>19000</v>
      </c>
      <c r="J59" s="42">
        <v>19000</v>
      </c>
      <c r="K59" s="42">
        <v>19000</v>
      </c>
      <c r="L59" s="42">
        <v>19000</v>
      </c>
      <c r="M59" s="42">
        <v>19000</v>
      </c>
      <c r="N59" s="42">
        <v>19000</v>
      </c>
      <c r="O59" s="42">
        <v>19000</v>
      </c>
      <c r="P59" s="42">
        <v>19000</v>
      </c>
      <c r="Q59" s="42">
        <v>19000</v>
      </c>
      <c r="R59" s="42">
        <v>19000</v>
      </c>
    </row>
    <row r="60" spans="1:18" x14ac:dyDescent="0.2">
      <c r="A60" s="43" t="s">
        <v>122</v>
      </c>
      <c r="B60" s="12"/>
      <c r="C60" s="12"/>
      <c r="D60" s="12"/>
      <c r="E60" s="4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1:18" x14ac:dyDescent="0.2">
      <c r="A61" s="43" t="s">
        <v>123</v>
      </c>
      <c r="B61" s="12"/>
      <c r="C61" s="12"/>
      <c r="D61" s="12"/>
      <c r="E61" s="4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</row>
    <row r="62" spans="1:18" x14ac:dyDescent="0.2">
      <c r="A62" s="43"/>
      <c r="B62" s="12"/>
      <c r="C62" s="12"/>
      <c r="D62" s="12"/>
      <c r="E62" s="4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  <row r="63" spans="1:18" x14ac:dyDescent="0.2">
      <c r="A63" s="45" t="s">
        <v>124</v>
      </c>
      <c r="B63" s="12"/>
      <c r="C63" s="12"/>
      <c r="D63" s="12"/>
      <c r="E63" s="4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 spans="1:18" ht="13.5" thickBot="1" x14ac:dyDescent="0.25">
      <c r="A64" s="50"/>
      <c r="E64" s="46"/>
      <c r="O64" s="7"/>
      <c r="P64" s="7"/>
      <c r="Q64" s="7"/>
      <c r="R64" s="7"/>
    </row>
    <row r="65" spans="1:18" ht="13.5" thickBot="1" x14ac:dyDescent="0.25">
      <c r="A65" s="47" t="s">
        <v>125</v>
      </c>
      <c r="B65" s="48"/>
      <c r="C65" s="48"/>
      <c r="D65" s="48"/>
      <c r="E65" s="49">
        <f>+E52-E55+E58+E61+E60+E59-E63</f>
        <v>-80257.300000000105</v>
      </c>
      <c r="F65" s="49">
        <f t="shared" ref="F65:N65" si="46">+F52-F55+F58+F61+F60+F59-F63</f>
        <v>-168467.90010000032</v>
      </c>
      <c r="G65" s="49">
        <f t="shared" si="46"/>
        <v>-437100.21361300012</v>
      </c>
      <c r="H65" s="49">
        <f t="shared" si="46"/>
        <v>-81105.651590154041</v>
      </c>
      <c r="I65" s="49">
        <f t="shared" si="46"/>
        <v>-168047.57668903959</v>
      </c>
      <c r="J65" s="49">
        <f t="shared" si="46"/>
        <v>-275015.65808025748</v>
      </c>
      <c r="K65" s="49">
        <f t="shared" si="46"/>
        <v>193535.27662196298</v>
      </c>
      <c r="L65" s="49">
        <f t="shared" si="46"/>
        <v>-164878.22158947686</v>
      </c>
      <c r="M65" s="49">
        <f t="shared" si="46"/>
        <v>-351704.43447689048</v>
      </c>
      <c r="N65" s="49">
        <f t="shared" si="46"/>
        <v>-164006.27832755493</v>
      </c>
      <c r="O65" s="49">
        <f t="shared" ref="O65:R65" si="47">+O52-O55+O58+O61+O60+O59-O63</f>
        <v>235584.84987499355</v>
      </c>
      <c r="P65" s="49">
        <f t="shared" si="47"/>
        <v>232796.37908416404</v>
      </c>
      <c r="Q65" s="49">
        <f t="shared" si="47"/>
        <v>230087.07883422286</v>
      </c>
      <c r="R65" s="49">
        <f t="shared" si="47"/>
        <v>227462.43670132337</v>
      </c>
    </row>
    <row r="66" spans="1:18" ht="13.5" thickBot="1" x14ac:dyDescent="0.25">
      <c r="A66" s="50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</row>
    <row r="67" spans="1:18" ht="26.25" thickBot="1" x14ac:dyDescent="0.25">
      <c r="A67" s="47" t="s">
        <v>126</v>
      </c>
      <c r="B67" s="48"/>
      <c r="C67" s="48"/>
      <c r="D67" s="48"/>
      <c r="E67" s="49">
        <f>'[1]60'!$U$132+'[1]60'!$V$132</f>
        <v>816116</v>
      </c>
      <c r="F67" s="49">
        <f>+E69</f>
        <v>735858.7</v>
      </c>
      <c r="G67" s="49">
        <f t="shared" ref="G67:N67" si="48">+F69</f>
        <v>567390.79989999963</v>
      </c>
      <c r="H67" s="49">
        <f t="shared" si="48"/>
        <v>130290.58628699952</v>
      </c>
      <c r="I67" s="49">
        <f t="shared" si="48"/>
        <v>49184.934696845477</v>
      </c>
      <c r="J67" s="49">
        <f t="shared" si="48"/>
        <v>-118862.64199219411</v>
      </c>
      <c r="K67" s="49">
        <f t="shared" si="48"/>
        <v>-393878.30007245159</v>
      </c>
      <c r="L67" s="49">
        <f t="shared" si="48"/>
        <v>-200343.0234504886</v>
      </c>
      <c r="M67" s="49">
        <f t="shared" si="48"/>
        <v>-365221.24503996549</v>
      </c>
      <c r="N67" s="49">
        <f t="shared" si="48"/>
        <v>-716925.67951685598</v>
      </c>
      <c r="O67" s="49">
        <f t="shared" ref="O67" si="49">+N69</f>
        <v>-880931.95784441091</v>
      </c>
      <c r="P67" s="49">
        <f t="shared" ref="P67" si="50">+O69</f>
        <v>-645347.10796941735</v>
      </c>
      <c r="Q67" s="49">
        <f t="shared" ref="Q67" si="51">+P69</f>
        <v>-412550.72888525331</v>
      </c>
      <c r="R67" s="49">
        <f t="shared" ref="R67" si="52">+Q69</f>
        <v>-182463.65005103045</v>
      </c>
    </row>
    <row r="68" spans="1:18" ht="13.5" thickBot="1" x14ac:dyDescent="0.25">
      <c r="A68" s="50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</row>
    <row r="69" spans="1:18" ht="26.25" thickBot="1" x14ac:dyDescent="0.25">
      <c r="A69" s="47" t="s">
        <v>127</v>
      </c>
      <c r="B69" s="48"/>
      <c r="C69" s="48"/>
      <c r="D69" s="48"/>
      <c r="E69" s="52">
        <f>+E65+E67</f>
        <v>735858.7</v>
      </c>
      <c r="F69" s="52">
        <f>+F65+F67</f>
        <v>567390.79989999963</v>
      </c>
      <c r="G69" s="52">
        <f t="shared" ref="G69:N69" si="53">+G65+G67</f>
        <v>130290.58628699952</v>
      </c>
      <c r="H69" s="52">
        <f t="shared" si="53"/>
        <v>49184.934696845477</v>
      </c>
      <c r="I69" s="52">
        <f t="shared" si="53"/>
        <v>-118862.64199219411</v>
      </c>
      <c r="J69" s="52">
        <f t="shared" si="53"/>
        <v>-393878.30007245159</v>
      </c>
      <c r="K69" s="52">
        <f t="shared" si="53"/>
        <v>-200343.0234504886</v>
      </c>
      <c r="L69" s="52">
        <f t="shared" si="53"/>
        <v>-365221.24503996549</v>
      </c>
      <c r="M69" s="52">
        <f t="shared" si="53"/>
        <v>-716925.67951685598</v>
      </c>
      <c r="N69" s="52">
        <f t="shared" si="53"/>
        <v>-880931.95784441091</v>
      </c>
      <c r="O69" s="52">
        <f t="shared" ref="O69:R69" si="54">+O65+O67</f>
        <v>-645347.10796941735</v>
      </c>
      <c r="P69" s="52">
        <f t="shared" si="54"/>
        <v>-412550.72888525331</v>
      </c>
      <c r="Q69" s="52">
        <f t="shared" si="54"/>
        <v>-182463.65005103045</v>
      </c>
      <c r="R69" s="52">
        <f t="shared" si="54"/>
        <v>44998.786650292925</v>
      </c>
    </row>
    <row r="70" spans="1:18" ht="13.5" thickBot="1" x14ac:dyDescent="0.3"/>
    <row r="71" spans="1:18" x14ac:dyDescent="0.25">
      <c r="D71" s="53" t="s">
        <v>51</v>
      </c>
      <c r="E71" s="54">
        <v>3.3000000000000002E-2</v>
      </c>
      <c r="F71" s="54">
        <v>2.3E-2</v>
      </c>
      <c r="G71" s="54">
        <v>2.3E-2</v>
      </c>
      <c r="H71" s="54">
        <v>2.3E-2</v>
      </c>
      <c r="I71" s="54">
        <v>2.3E-2</v>
      </c>
      <c r="J71" s="54">
        <v>2.3E-2</v>
      </c>
      <c r="K71" s="54">
        <v>2.3E-2</v>
      </c>
      <c r="L71" s="54">
        <v>2.3E-2</v>
      </c>
      <c r="M71" s="54">
        <v>2.3E-2</v>
      </c>
      <c r="N71" s="55">
        <v>2.3E-2</v>
      </c>
    </row>
    <row r="72" spans="1:18" x14ac:dyDescent="0.25">
      <c r="D72" s="56" t="s">
        <v>128</v>
      </c>
      <c r="E72" s="57">
        <v>0.02</v>
      </c>
      <c r="F72" s="57">
        <v>0.02</v>
      </c>
      <c r="G72" s="57">
        <v>0.02</v>
      </c>
      <c r="H72" s="57">
        <v>0.02</v>
      </c>
      <c r="I72" s="57">
        <v>0.02</v>
      </c>
      <c r="J72" s="57">
        <v>0.02</v>
      </c>
      <c r="K72" s="57">
        <v>0.02</v>
      </c>
      <c r="L72" s="57">
        <v>0.02</v>
      </c>
      <c r="M72" s="57">
        <v>0.02</v>
      </c>
      <c r="N72" s="58">
        <v>0.02</v>
      </c>
    </row>
    <row r="73" spans="1:18" x14ac:dyDescent="0.25">
      <c r="D73" s="56" t="s">
        <v>129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7">
        <v>0</v>
      </c>
      <c r="K73" s="57">
        <v>0</v>
      </c>
      <c r="L73" s="57">
        <v>0</v>
      </c>
      <c r="M73" s="57">
        <v>0</v>
      </c>
      <c r="N73" s="58">
        <v>0</v>
      </c>
    </row>
    <row r="74" spans="1:18" x14ac:dyDescent="0.25">
      <c r="D74" s="56" t="s">
        <v>130</v>
      </c>
      <c r="E74" s="57">
        <v>0.01</v>
      </c>
      <c r="F74" s="57">
        <v>0.01</v>
      </c>
      <c r="G74" s="57">
        <v>0.01</v>
      </c>
      <c r="H74" s="57">
        <v>0.01</v>
      </c>
      <c r="I74" s="57">
        <v>0.01</v>
      </c>
      <c r="J74" s="57">
        <v>0.01</v>
      </c>
      <c r="K74" s="57">
        <v>0.01</v>
      </c>
      <c r="L74" s="57">
        <v>0.01</v>
      </c>
      <c r="M74" s="57">
        <v>0.01</v>
      </c>
      <c r="N74" s="58">
        <v>0.01</v>
      </c>
    </row>
    <row r="75" spans="1:18" x14ac:dyDescent="0.25">
      <c r="D75" s="56" t="s">
        <v>131</v>
      </c>
      <c r="E75" s="57">
        <v>0.01</v>
      </c>
      <c r="F75" s="57">
        <v>0.01</v>
      </c>
      <c r="G75" s="57">
        <v>0.01</v>
      </c>
      <c r="H75" s="57">
        <v>0.01</v>
      </c>
      <c r="I75" s="57">
        <v>0.01</v>
      </c>
      <c r="J75" s="57">
        <v>0.01</v>
      </c>
      <c r="K75" s="57">
        <v>0.01</v>
      </c>
      <c r="L75" s="57">
        <v>0.01</v>
      </c>
      <c r="M75" s="57">
        <v>0.01</v>
      </c>
      <c r="N75" s="58">
        <v>0.01</v>
      </c>
    </row>
    <row r="76" spans="1:18" ht="13.5" thickBot="1" x14ac:dyDescent="0.3">
      <c r="D76" s="59" t="s">
        <v>132</v>
      </c>
      <c r="E76" s="60">
        <v>0.02</v>
      </c>
      <c r="F76" s="60">
        <v>0.02</v>
      </c>
      <c r="G76" s="60">
        <v>0.02</v>
      </c>
      <c r="H76" s="60">
        <v>0.02</v>
      </c>
      <c r="I76" s="60">
        <v>0.02</v>
      </c>
      <c r="J76" s="60">
        <v>0.02</v>
      </c>
      <c r="K76" s="60">
        <v>0.02</v>
      </c>
      <c r="L76" s="60">
        <v>0.02</v>
      </c>
      <c r="M76" s="60">
        <v>0.02</v>
      </c>
      <c r="N76" s="61">
        <v>0.02</v>
      </c>
    </row>
  </sheetData>
  <mergeCells count="6">
    <mergeCell ref="A34:N34"/>
    <mergeCell ref="A7:N7"/>
    <mergeCell ref="A10:N10"/>
    <mergeCell ref="A18:N18"/>
    <mergeCell ref="A20:N20"/>
    <mergeCell ref="A22:N22"/>
  </mergeCells>
  <pageMargins left="0.19685039370078741" right="0.19685039370078741" top="0.19685039370078741" bottom="0.19685039370078741" header="0.31496062992125984" footer="0.31496062992125984"/>
  <pageSetup scale="60" fitToHeight="6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workbookViewId="0">
      <selection activeCell="A20" sqref="A20"/>
    </sheetView>
  </sheetViews>
  <sheetFormatPr defaultRowHeight="12.75" x14ac:dyDescent="0.2"/>
  <cols>
    <col min="1" max="1" width="36.42578125" style="1" bestFit="1" customWidth="1"/>
    <col min="2" max="16384" width="9.140625" style="1"/>
  </cols>
  <sheetData>
    <row r="1" spans="1:14" ht="15" customHeight="1" thickBot="1" x14ac:dyDescent="0.25">
      <c r="A1" s="90" t="s">
        <v>21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/>
    </row>
    <row r="2" spans="1:14" x14ac:dyDescent="0.2">
      <c r="A2" s="93" t="s">
        <v>22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 s="4" customFormat="1" x14ac:dyDescent="0.25">
      <c r="A3" s="3" t="s">
        <v>23</v>
      </c>
      <c r="B3" s="2">
        <v>2010</v>
      </c>
      <c r="C3" s="2">
        <v>2011</v>
      </c>
      <c r="D3" s="2">
        <v>2012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20</v>
      </c>
    </row>
    <row r="4" spans="1:14" ht="15" x14ac:dyDescent="0.25">
      <c r="A4" s="87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9"/>
    </row>
    <row r="5" spans="1:14" ht="15" x14ac:dyDescent="0.2">
      <c r="A5" s="84" t="s">
        <v>24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6"/>
    </row>
    <row r="6" spans="1:14" ht="15" x14ac:dyDescent="0.25">
      <c r="A6" s="87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9"/>
    </row>
    <row r="7" spans="1:14" x14ac:dyDescent="0.2">
      <c r="A7" s="15" t="s">
        <v>25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x14ac:dyDescent="0.2">
      <c r="A8" s="15" t="s">
        <v>26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x14ac:dyDescent="0.2">
      <c r="A9" s="15" t="s">
        <v>27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 x14ac:dyDescent="0.2">
      <c r="A10" s="15" t="s">
        <v>28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ht="15" x14ac:dyDescent="0.25">
      <c r="A12" s="87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9"/>
    </row>
    <row r="13" spans="1:14" ht="15" x14ac:dyDescent="0.2">
      <c r="A13" s="84" t="s">
        <v>29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6"/>
    </row>
    <row r="14" spans="1:14" ht="15" x14ac:dyDescent="0.25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9"/>
    </row>
    <row r="15" spans="1:14" x14ac:dyDescent="0.2">
      <c r="A15" s="15" t="s">
        <v>30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 x14ac:dyDescent="0.2">
      <c r="A16" s="15" t="s">
        <v>31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 x14ac:dyDescent="0.2">
      <c r="A17" s="15" t="s">
        <v>32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x14ac:dyDescent="0.2">
      <c r="A18" s="15" t="s">
        <v>33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x14ac:dyDescent="0.2">
      <c r="A19" s="15" t="s">
        <v>34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x14ac:dyDescent="0.2">
      <c r="A20" s="15" t="s">
        <v>35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x14ac:dyDescent="0.2">
      <c r="A21" s="15" t="s">
        <v>36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 x14ac:dyDescent="0.2">
      <c r="A22" s="15" t="s">
        <v>37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x14ac:dyDescent="0.2">
      <c r="A23" s="15" t="s">
        <v>38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4" ht="15" x14ac:dyDescent="0.25">
      <c r="A24" s="87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9"/>
    </row>
    <row r="25" spans="1:14" ht="15" x14ac:dyDescent="0.2">
      <c r="A25" s="84" t="s">
        <v>39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6"/>
    </row>
    <row r="26" spans="1:14" ht="15" x14ac:dyDescent="0.25">
      <c r="A26" s="87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9"/>
    </row>
    <row r="27" spans="1:14" x14ac:dyDescent="0.2">
      <c r="A27" s="15" t="s">
        <v>40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 x14ac:dyDescent="0.2">
      <c r="A28" s="15" t="s">
        <v>41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1:14" x14ac:dyDescent="0.2">
      <c r="A29" s="15" t="s">
        <v>42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4" x14ac:dyDescent="0.2">
      <c r="A30" s="15" t="s">
        <v>43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x14ac:dyDescent="0.2">
      <c r="A31" s="15" t="s">
        <v>44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4" x14ac:dyDescent="0.2">
      <c r="A32" s="15" t="s">
        <v>45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x14ac:dyDescent="0.2">
      <c r="A33" s="15" t="s">
        <v>46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1:14" x14ac:dyDescent="0.2">
      <c r="A34" s="15" t="s">
        <v>47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4" x14ac:dyDescent="0.2">
      <c r="A35" s="15" t="s">
        <v>48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4" x14ac:dyDescent="0.2">
      <c r="A36" s="15" t="s">
        <v>49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4" ht="25.5" x14ac:dyDescent="0.2">
      <c r="A37" s="16" t="s">
        <v>50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</sheetData>
  <mergeCells count="11">
    <mergeCell ref="A12:N12"/>
    <mergeCell ref="A1:N1"/>
    <mergeCell ref="A2:N2"/>
    <mergeCell ref="A4:N4"/>
    <mergeCell ref="A5:N5"/>
    <mergeCell ref="A6:N6"/>
    <mergeCell ref="A13:N13"/>
    <mergeCell ref="A14:N14"/>
    <mergeCell ref="A24:N24"/>
    <mergeCell ref="A25:N25"/>
    <mergeCell ref="A26:N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6"/>
  <sheetViews>
    <sheetView showGridLines="0" workbookViewId="0">
      <selection activeCell="F12" sqref="F12"/>
    </sheetView>
  </sheetViews>
  <sheetFormatPr defaultColWidth="8.85546875" defaultRowHeight="12.75" x14ac:dyDescent="0.2"/>
  <cols>
    <col min="1" max="1" width="77.7109375" style="1" bestFit="1" customWidth="1"/>
    <col min="2" max="2" width="30" style="1" bestFit="1" customWidth="1"/>
    <col min="3" max="3" width="8.42578125" style="1" bestFit="1" customWidth="1"/>
    <col min="4" max="4" width="7.85546875" style="1" bestFit="1" customWidth="1"/>
    <col min="5" max="5" width="6.85546875" style="1" bestFit="1" customWidth="1"/>
    <col min="6" max="6" width="8.85546875" style="1" bestFit="1" customWidth="1"/>
    <col min="7" max="7" width="7.28515625" style="1" bestFit="1" customWidth="1"/>
    <col min="8" max="8" width="7.85546875" style="1" bestFit="1" customWidth="1"/>
    <col min="9" max="9" width="28.28515625" style="1" bestFit="1" customWidth="1"/>
    <col min="10" max="16384" width="8.85546875" style="1"/>
  </cols>
  <sheetData>
    <row r="2" spans="1:2" x14ac:dyDescent="0.2">
      <c r="A2" s="19" t="s">
        <v>54</v>
      </c>
      <c r="B2" s="5"/>
    </row>
    <row r="3" spans="1:2" x14ac:dyDescent="0.2">
      <c r="A3" s="15" t="s">
        <v>55</v>
      </c>
      <c r="B3" s="5"/>
    </row>
    <row r="4" spans="1:2" x14ac:dyDescent="0.2">
      <c r="A4" s="15" t="s">
        <v>56</v>
      </c>
      <c r="B4" s="5"/>
    </row>
    <row r="5" spans="1:2" x14ac:dyDescent="0.2">
      <c r="A5" s="15" t="s">
        <v>57</v>
      </c>
      <c r="B5" s="5"/>
    </row>
    <row r="6" spans="1:2" x14ac:dyDescent="0.2">
      <c r="A6" s="15" t="s">
        <v>58</v>
      </c>
      <c r="B6" s="5"/>
    </row>
    <row r="7" spans="1:2" x14ac:dyDescent="0.2">
      <c r="A7" s="15" t="s">
        <v>59</v>
      </c>
      <c r="B7" s="5"/>
    </row>
    <row r="8" spans="1:2" x14ac:dyDescent="0.2">
      <c r="A8" s="15" t="s">
        <v>60</v>
      </c>
      <c r="B8" s="5"/>
    </row>
    <row r="9" spans="1:2" x14ac:dyDescent="0.2">
      <c r="A9" s="15" t="s">
        <v>61</v>
      </c>
      <c r="B9" s="5"/>
    </row>
    <row r="10" spans="1:2" x14ac:dyDescent="0.2">
      <c r="A10" s="15" t="s">
        <v>62</v>
      </c>
      <c r="B10" s="5"/>
    </row>
    <row r="11" spans="1:2" s="21" customFormat="1" x14ac:dyDescent="0.2">
      <c r="A11" s="20" t="s">
        <v>63</v>
      </c>
      <c r="B11" s="4"/>
    </row>
    <row r="12" spans="1:2" x14ac:dyDescent="0.2">
      <c r="A12" s="15" t="s">
        <v>64</v>
      </c>
    </row>
    <row r="14" spans="1:2" x14ac:dyDescent="0.2">
      <c r="A14" s="19" t="s">
        <v>65</v>
      </c>
    </row>
    <row r="15" spans="1:2" ht="25.5" x14ac:dyDescent="0.2">
      <c r="A15" s="16" t="s">
        <v>66</v>
      </c>
    </row>
    <row r="16" spans="1:2" ht="25.5" x14ac:dyDescent="0.2">
      <c r="A16" s="16" t="s">
        <v>67</v>
      </c>
    </row>
    <row r="17" spans="1:1" x14ac:dyDescent="0.2">
      <c r="A17" s="15" t="s">
        <v>68</v>
      </c>
    </row>
    <row r="18" spans="1:1" ht="25.5" x14ac:dyDescent="0.2">
      <c r="A18" s="16" t="s">
        <v>69</v>
      </c>
    </row>
    <row r="19" spans="1:1" x14ac:dyDescent="0.2">
      <c r="A19" s="15" t="s">
        <v>70</v>
      </c>
    </row>
    <row r="21" spans="1:1" x14ac:dyDescent="0.2">
      <c r="A21" s="19" t="s">
        <v>71</v>
      </c>
    </row>
    <row r="22" spans="1:1" x14ac:dyDescent="0.2">
      <c r="A22" s="15" t="s">
        <v>72</v>
      </c>
    </row>
    <row r="23" spans="1:1" x14ac:dyDescent="0.2">
      <c r="A23" s="15" t="s">
        <v>73</v>
      </c>
    </row>
    <row r="24" spans="1:1" ht="25.5" x14ac:dyDescent="0.2">
      <c r="A24" s="16" t="s">
        <v>74</v>
      </c>
    </row>
    <row r="25" spans="1:1" ht="25.5" x14ac:dyDescent="0.2">
      <c r="A25" s="16" t="s">
        <v>75</v>
      </c>
    </row>
    <row r="26" spans="1:1" x14ac:dyDescent="0.2">
      <c r="A26" s="22"/>
    </row>
  </sheetData>
  <pageMargins left="0.7" right="0.7" top="0.75" bottom="0.75" header="0.3" footer="0.3"/>
  <pageSetup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Capital Plan</vt:lpstr>
      <vt:lpstr>Statement of Operations @ 2.3%</vt:lpstr>
      <vt:lpstr>Statement of Operations @ 3.3%</vt:lpstr>
      <vt:lpstr>Output</vt:lpstr>
      <vt:lpstr>Notes_Options_Strategies_Recomm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</dc:creator>
  <cp:lastModifiedBy>Patrick</cp:lastModifiedBy>
  <cp:lastPrinted>2013-12-05T16:09:43Z</cp:lastPrinted>
  <dcterms:created xsi:type="dcterms:W3CDTF">2013-06-10T13:51:07Z</dcterms:created>
  <dcterms:modified xsi:type="dcterms:W3CDTF">2013-12-05T16:10:02Z</dcterms:modified>
</cp:coreProperties>
</file>